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70" windowWidth="19230" windowHeight="6015"/>
  </bookViews>
  <sheets>
    <sheet name="Collection Goals Summary" sheetId="1" r:id="rId1"/>
    <sheet name="Army IP" sheetId="4" r:id="rId2"/>
    <sheet name="Navy IP" sheetId="5" r:id="rId3"/>
    <sheet name="Air Force IP" sheetId="6" r:id="rId4"/>
    <sheet name="JTF IP" sheetId="12" r:id="rId5"/>
    <sheet name="IP Collections" sheetId="7" r:id="rId6"/>
    <sheet name="Army OP" sheetId="9" r:id="rId7"/>
    <sheet name="Navy OP" sheetId="10" r:id="rId8"/>
    <sheet name="Air Force OP" sheetId="8" r:id="rId9"/>
    <sheet name="JTF OP" sheetId="13" r:id="rId10"/>
    <sheet name="Sheet2" sheetId="15" r:id="rId11"/>
    <sheet name="OP Collections" sheetId="11" r:id="rId12"/>
  </sheets>
  <calcPr calcId="145621"/>
  <pivotCaches>
    <pivotCache cacheId="0" r:id="rId13"/>
  </pivotCaches>
</workbook>
</file>

<file path=xl/calcChain.xml><?xml version="1.0" encoding="utf-8"?>
<calcChain xmlns="http://schemas.openxmlformats.org/spreadsheetml/2006/main">
  <c r="C4" i="1" l="1"/>
  <c r="C3" i="1"/>
  <c r="Q70" i="8"/>
  <c r="Q87" i="8"/>
  <c r="Q86" i="8"/>
  <c r="S86" i="8"/>
  <c r="Q85" i="8"/>
  <c r="Q84" i="8"/>
  <c r="Q83" i="8"/>
  <c r="Q82" i="8"/>
  <c r="Q80" i="8"/>
  <c r="S80" i="8"/>
  <c r="Q78" i="8"/>
  <c r="S78" i="8"/>
  <c r="Q77" i="8"/>
  <c r="Q76" i="8"/>
  <c r="S76" i="8"/>
  <c r="Q75" i="8"/>
  <c r="Q74" i="8"/>
  <c r="Q73" i="8"/>
  <c r="Q72" i="8"/>
  <c r="S72" i="8"/>
  <c r="Q71" i="8"/>
  <c r="S70" i="8"/>
  <c r="Q68" i="8"/>
  <c r="Q67" i="8"/>
  <c r="Q65" i="8"/>
  <c r="Q64" i="8"/>
  <c r="Q63" i="8"/>
  <c r="Q62" i="8"/>
  <c r="Q61" i="8"/>
  <c r="Q60" i="8"/>
  <c r="Q59" i="8"/>
  <c r="Q58" i="8"/>
  <c r="Q56" i="8"/>
  <c r="S56" i="8"/>
  <c r="Q55" i="8"/>
  <c r="Q54" i="8"/>
  <c r="S54" i="8"/>
  <c r="Q53" i="8"/>
  <c r="Q52" i="8"/>
  <c r="Q50" i="8"/>
  <c r="S50" i="8"/>
  <c r="Q49" i="8"/>
  <c r="Q47" i="8"/>
  <c r="Q46" i="8"/>
  <c r="S46" i="8"/>
  <c r="Q45" i="8"/>
  <c r="Q44" i="8"/>
  <c r="Q43" i="8"/>
  <c r="Q42" i="8"/>
  <c r="S42" i="8"/>
  <c r="Q41" i="8"/>
  <c r="Q40" i="8"/>
  <c r="S40" i="8"/>
  <c r="Q38" i="8"/>
  <c r="Q37" i="8"/>
  <c r="Q36" i="8"/>
  <c r="S36" i="8"/>
  <c r="Q35" i="8"/>
  <c r="Q34" i="8"/>
  <c r="S34" i="8"/>
  <c r="Q32" i="8"/>
  <c r="S32" i="8"/>
  <c r="Q31" i="8"/>
  <c r="Q29" i="8"/>
  <c r="Q28" i="8"/>
  <c r="S28" i="8"/>
  <c r="Q27" i="8"/>
  <c r="Q26" i="8"/>
  <c r="Q25" i="8"/>
  <c r="Q24" i="8"/>
  <c r="S24" i="8"/>
  <c r="Q23" i="8"/>
  <c r="Q22" i="8"/>
  <c r="Q21" i="8"/>
  <c r="Q20" i="8"/>
  <c r="S20" i="8"/>
  <c r="Q19" i="8"/>
  <c r="Q18" i="8"/>
  <c r="S18" i="8"/>
  <c r="Q16" i="8"/>
  <c r="Q15" i="8"/>
  <c r="Q14" i="8"/>
  <c r="Q13" i="8"/>
  <c r="Q12" i="8"/>
  <c r="S12" i="8"/>
  <c r="Q11" i="8"/>
  <c r="Q10" i="8"/>
  <c r="S10" i="8"/>
  <c r="Q9" i="8"/>
  <c r="Q8" i="8"/>
  <c r="S8" i="8"/>
  <c r="Q7" i="8"/>
  <c r="Q6" i="8"/>
  <c r="Q5" i="8"/>
  <c r="S33" i="10"/>
  <c r="Q32" i="10"/>
  <c r="Q31" i="10"/>
  <c r="Q30" i="10"/>
  <c r="Q29" i="10"/>
  <c r="Q28" i="10"/>
  <c r="S28" i="10"/>
  <c r="Q27" i="10"/>
  <c r="Q26" i="10"/>
  <c r="Q25" i="10"/>
  <c r="S25" i="10"/>
  <c r="Q24" i="10"/>
  <c r="Q23" i="10"/>
  <c r="S23" i="10"/>
  <c r="Q22" i="10"/>
  <c r="Q21" i="10"/>
  <c r="Q20" i="10"/>
  <c r="Q19" i="10"/>
  <c r="S18" i="10"/>
  <c r="S17" i="10"/>
  <c r="Q16" i="10"/>
  <c r="S15" i="10"/>
  <c r="Q14" i="10"/>
  <c r="Q13" i="10"/>
  <c r="Q12" i="10"/>
  <c r="Q11" i="10"/>
  <c r="Q10" i="10"/>
  <c r="S10" i="10"/>
  <c r="Q9" i="10"/>
  <c r="S9" i="10"/>
  <c r="Q8" i="10"/>
  <c r="Q6" i="10"/>
  <c r="Q5" i="10"/>
  <c r="Q4" i="10"/>
  <c r="Q43" i="9"/>
  <c r="Q42" i="9"/>
  <c r="Q41" i="9"/>
  <c r="Q40" i="9"/>
  <c r="Q39" i="9"/>
  <c r="Q38" i="9"/>
  <c r="S38" i="9"/>
  <c r="Q37" i="9"/>
  <c r="S37" i="9"/>
  <c r="Q36" i="9"/>
  <c r="Q35" i="9"/>
  <c r="Q34" i="9"/>
  <c r="Q33" i="9"/>
  <c r="Q32" i="9"/>
  <c r="Q31" i="9"/>
  <c r="Q30" i="9"/>
  <c r="S30" i="9"/>
  <c r="Q29" i="9"/>
  <c r="S29" i="9"/>
  <c r="Q28" i="9"/>
  <c r="S28" i="9"/>
  <c r="Q27" i="9"/>
  <c r="Q26" i="9"/>
  <c r="Q25" i="9"/>
  <c r="Q24" i="9"/>
  <c r="Q23" i="9"/>
  <c r="Q22" i="9"/>
  <c r="Q21" i="9"/>
  <c r="Q20" i="9"/>
  <c r="S20" i="9"/>
  <c r="Q19" i="9"/>
  <c r="Q18" i="9"/>
  <c r="Q17" i="9"/>
  <c r="Q15" i="9"/>
  <c r="Q14" i="9"/>
  <c r="Q13" i="9"/>
  <c r="Q12" i="9"/>
  <c r="S12" i="9"/>
  <c r="Q11" i="9"/>
  <c r="Q10" i="9"/>
  <c r="Q8" i="9"/>
  <c r="Q7" i="9"/>
  <c r="S7" i="9"/>
  <c r="Q6" i="9"/>
  <c r="Q5" i="9"/>
  <c r="S5" i="9"/>
  <c r="Q4" i="9"/>
  <c r="Q3" i="9"/>
  <c r="C32" i="1"/>
  <c r="B32" i="1"/>
  <c r="C31" i="1"/>
  <c r="C30" i="1"/>
  <c r="C29" i="1"/>
  <c r="C28" i="1"/>
  <c r="B31" i="1"/>
  <c r="B30" i="1"/>
  <c r="B29" i="1"/>
  <c r="B28" i="1"/>
  <c r="K145" i="7"/>
  <c r="F4" i="1"/>
  <c r="B6" i="1"/>
  <c r="B5" i="1"/>
  <c r="B3" i="1"/>
  <c r="B4" i="1"/>
  <c r="J4" i="1"/>
  <c r="M145" i="11"/>
  <c r="M143" i="7"/>
  <c r="F6" i="1"/>
  <c r="M114" i="7"/>
  <c r="M68" i="7"/>
  <c r="F3" i="1"/>
  <c r="F7" i="1"/>
  <c r="M3" i="7"/>
  <c r="F5" i="1"/>
  <c r="J5" i="1"/>
  <c r="M116" i="11"/>
  <c r="M68" i="11"/>
  <c r="C149" i="11"/>
  <c r="M3" i="11"/>
  <c r="C148" i="11"/>
  <c r="K5" i="12"/>
  <c r="L4" i="12"/>
  <c r="I5" i="12"/>
  <c r="J3" i="12"/>
  <c r="L3" i="12"/>
  <c r="L5" i="12"/>
  <c r="G6" i="1"/>
  <c r="R4" i="13"/>
  <c r="P3" i="13"/>
  <c r="Q3" i="13"/>
  <c r="S3" i="13"/>
  <c r="P2" i="13"/>
  <c r="Q2" i="13"/>
  <c r="S2" i="13"/>
  <c r="S4" i="13"/>
  <c r="C6" i="1"/>
  <c r="K62" i="6"/>
  <c r="K61" i="6"/>
  <c r="M61" i="6"/>
  <c r="K54" i="6"/>
  <c r="K53" i="6"/>
  <c r="M53" i="6"/>
  <c r="K45" i="6"/>
  <c r="K44" i="6"/>
  <c r="M44" i="6"/>
  <c r="K37" i="6"/>
  <c r="K36" i="6"/>
  <c r="M36" i="6"/>
  <c r="K29" i="6"/>
  <c r="K28" i="6"/>
  <c r="M28" i="6"/>
  <c r="K19" i="6"/>
  <c r="M19" i="6"/>
  <c r="K18" i="6"/>
  <c r="M18" i="6"/>
  <c r="K6" i="6"/>
  <c r="M6" i="6"/>
  <c r="K5" i="6"/>
  <c r="M5" i="6"/>
  <c r="J69" i="6"/>
  <c r="K68" i="6"/>
  <c r="M68" i="6"/>
  <c r="L68" i="6"/>
  <c r="L67" i="6"/>
  <c r="L66" i="6"/>
  <c r="L65" i="6"/>
  <c r="L64" i="6"/>
  <c r="L63" i="6"/>
  <c r="L62" i="6"/>
  <c r="M62" i="6"/>
  <c r="L61" i="6"/>
  <c r="L60" i="6"/>
  <c r="L59" i="6"/>
  <c r="L58" i="6"/>
  <c r="L57" i="6"/>
  <c r="L56" i="6"/>
  <c r="L55" i="6"/>
  <c r="L54" i="6"/>
  <c r="M54" i="6"/>
  <c r="L53" i="6"/>
  <c r="L52" i="6"/>
  <c r="L51" i="6"/>
  <c r="L50" i="6"/>
  <c r="L49" i="6"/>
  <c r="L48" i="6"/>
  <c r="L47" i="6"/>
  <c r="L46" i="6"/>
  <c r="L45" i="6"/>
  <c r="M45" i="6"/>
  <c r="L44" i="6"/>
  <c r="L43" i="6"/>
  <c r="L42" i="6"/>
  <c r="L41" i="6"/>
  <c r="L40" i="6"/>
  <c r="L39" i="6"/>
  <c r="L38" i="6"/>
  <c r="L37" i="6"/>
  <c r="M37" i="6"/>
  <c r="L36" i="6"/>
  <c r="L35" i="6"/>
  <c r="L34" i="6"/>
  <c r="L33" i="6"/>
  <c r="L32" i="6"/>
  <c r="L31" i="6"/>
  <c r="L30" i="6"/>
  <c r="L29" i="6"/>
  <c r="M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M14" i="6"/>
  <c r="L13" i="6"/>
  <c r="L12" i="6"/>
  <c r="M12" i="6"/>
  <c r="L11" i="6"/>
  <c r="M11" i="6"/>
  <c r="L10" i="6"/>
  <c r="M10" i="6"/>
  <c r="L9" i="6"/>
  <c r="L8" i="6"/>
  <c r="L7" i="6"/>
  <c r="L6" i="6"/>
  <c r="L5" i="6"/>
  <c r="L4" i="6"/>
  <c r="K10" i="6"/>
  <c r="K11" i="6"/>
  <c r="K12" i="6"/>
  <c r="K14" i="6"/>
  <c r="K29" i="5"/>
  <c r="K20" i="5"/>
  <c r="K17" i="5"/>
  <c r="M17" i="5"/>
  <c r="K11" i="5"/>
  <c r="K8" i="5"/>
  <c r="K4" i="5"/>
  <c r="K3" i="5"/>
  <c r="M3" i="5"/>
  <c r="L29" i="5"/>
  <c r="M29" i="5"/>
  <c r="L22" i="5"/>
  <c r="L21" i="5"/>
  <c r="L20" i="5"/>
  <c r="M20" i="5"/>
  <c r="L17" i="5"/>
  <c r="L13" i="5"/>
  <c r="L9" i="5"/>
  <c r="L8" i="5"/>
  <c r="M8" i="5"/>
  <c r="L7" i="5"/>
  <c r="M7" i="5"/>
  <c r="L6" i="5"/>
  <c r="L5" i="5"/>
  <c r="L4" i="5"/>
  <c r="M4" i="5"/>
  <c r="L3" i="5"/>
  <c r="J32" i="5"/>
  <c r="K9" i="5"/>
  <c r="M9" i="5"/>
  <c r="M7" i="4"/>
  <c r="M3" i="4"/>
  <c r="K7" i="4"/>
  <c r="J51" i="4"/>
  <c r="K49" i="4"/>
  <c r="M49" i="4"/>
  <c r="R88" i="8"/>
  <c r="S52" i="8"/>
  <c r="R34" i="10"/>
  <c r="S34" i="10"/>
  <c r="R33" i="10"/>
  <c r="R32" i="10"/>
  <c r="S32" i="10"/>
  <c r="R31" i="10"/>
  <c r="S31" i="10"/>
  <c r="R30" i="10"/>
  <c r="S30" i="10"/>
  <c r="R29" i="10"/>
  <c r="S29" i="10"/>
  <c r="R28" i="10"/>
  <c r="R27" i="10"/>
  <c r="S27" i="10"/>
  <c r="R26" i="10"/>
  <c r="S26" i="10"/>
  <c r="R25" i="10"/>
  <c r="R24" i="10"/>
  <c r="R23" i="10"/>
  <c r="R22" i="10"/>
  <c r="R21" i="10"/>
  <c r="R20" i="10"/>
  <c r="R19" i="10"/>
  <c r="R18" i="10"/>
  <c r="R17" i="10"/>
  <c r="R16" i="10"/>
  <c r="S16" i="10"/>
  <c r="R15" i="10"/>
  <c r="R14" i="10"/>
  <c r="R13" i="10"/>
  <c r="R12" i="10"/>
  <c r="S12" i="10"/>
  <c r="R11" i="10"/>
  <c r="S11" i="10"/>
  <c r="R10" i="10"/>
  <c r="R9" i="10"/>
  <c r="R8" i="10"/>
  <c r="S8" i="10"/>
  <c r="R7" i="10"/>
  <c r="R6" i="10"/>
  <c r="S6" i="10"/>
  <c r="R5" i="10"/>
  <c r="S5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O4" i="10"/>
  <c r="N4" i="10"/>
  <c r="M4" i="10"/>
  <c r="L4" i="10"/>
  <c r="K4" i="10"/>
  <c r="J4" i="10"/>
  <c r="I4" i="10"/>
  <c r="H4" i="10"/>
  <c r="G4" i="10"/>
  <c r="F4" i="10"/>
  <c r="E4" i="10"/>
  <c r="D4" i="10"/>
  <c r="R43" i="9"/>
  <c r="R42" i="9"/>
  <c r="R41" i="9"/>
  <c r="S41" i="9"/>
  <c r="R40" i="9"/>
  <c r="R39" i="9"/>
  <c r="R38" i="9"/>
  <c r="R37" i="9"/>
  <c r="R36" i="9"/>
  <c r="R35" i="9"/>
  <c r="R33" i="9"/>
  <c r="S33" i="9"/>
  <c r="R32" i="9"/>
  <c r="R31" i="9"/>
  <c r="R30" i="9"/>
  <c r="R29" i="9"/>
  <c r="R28" i="9"/>
  <c r="R27" i="9"/>
  <c r="R26" i="9"/>
  <c r="R25" i="9"/>
  <c r="R24" i="9"/>
  <c r="R23" i="9"/>
  <c r="R21" i="9"/>
  <c r="R20" i="9"/>
  <c r="R19" i="9"/>
  <c r="R17" i="9"/>
  <c r="R15" i="9"/>
  <c r="R14" i="9"/>
  <c r="R13" i="9"/>
  <c r="R12" i="9"/>
  <c r="R11" i="9"/>
  <c r="R10" i="9"/>
  <c r="R7" i="9"/>
  <c r="R6" i="9"/>
  <c r="R5" i="9"/>
  <c r="R44" i="9"/>
  <c r="O34" i="9"/>
  <c r="N34" i="9"/>
  <c r="M34" i="9"/>
  <c r="L34" i="9"/>
  <c r="K34" i="9"/>
  <c r="J34" i="9"/>
  <c r="I34" i="9"/>
  <c r="H34" i="9"/>
  <c r="G34" i="9"/>
  <c r="F34" i="9"/>
  <c r="E34" i="9"/>
  <c r="D34" i="9"/>
  <c r="P34" i="9"/>
  <c r="O22" i="9"/>
  <c r="N22" i="9"/>
  <c r="M22" i="9"/>
  <c r="L22" i="9"/>
  <c r="L3" i="9"/>
  <c r="K22" i="9"/>
  <c r="K3" i="9"/>
  <c r="J22" i="9"/>
  <c r="I22" i="9"/>
  <c r="H22" i="9"/>
  <c r="H3" i="9"/>
  <c r="G22" i="9"/>
  <c r="F22" i="9"/>
  <c r="E22" i="9"/>
  <c r="D22" i="9"/>
  <c r="P22" i="9"/>
  <c r="O18" i="9"/>
  <c r="N18" i="9"/>
  <c r="M18" i="9"/>
  <c r="L18" i="9"/>
  <c r="K18" i="9"/>
  <c r="J18" i="9"/>
  <c r="I18" i="9"/>
  <c r="H18" i="9"/>
  <c r="G18" i="9"/>
  <c r="F18" i="9"/>
  <c r="E18" i="9"/>
  <c r="D18" i="9"/>
  <c r="O8" i="9"/>
  <c r="N8" i="9"/>
  <c r="M8" i="9"/>
  <c r="L8" i="9"/>
  <c r="K8" i="9"/>
  <c r="J8" i="9"/>
  <c r="I8" i="9"/>
  <c r="H8" i="9"/>
  <c r="G8" i="9"/>
  <c r="F8" i="9"/>
  <c r="E8" i="9"/>
  <c r="P8" i="9"/>
  <c r="D8" i="9"/>
  <c r="O4" i="9"/>
  <c r="O3" i="9"/>
  <c r="N4" i="9"/>
  <c r="N3" i="9"/>
  <c r="M4" i="9"/>
  <c r="M3" i="9"/>
  <c r="L4" i="9"/>
  <c r="K4" i="9"/>
  <c r="J4" i="9"/>
  <c r="J3" i="9"/>
  <c r="I4" i="9"/>
  <c r="I3" i="9"/>
  <c r="H4" i="9"/>
  <c r="G4" i="9"/>
  <c r="G3" i="9"/>
  <c r="F4" i="9"/>
  <c r="P4" i="9"/>
  <c r="E4" i="9"/>
  <c r="E3" i="9"/>
  <c r="D4" i="9"/>
  <c r="P5" i="9"/>
  <c r="P6" i="9"/>
  <c r="S6" i="9"/>
  <c r="P7" i="9"/>
  <c r="P10" i="9"/>
  <c r="P11" i="9"/>
  <c r="P12" i="9"/>
  <c r="P13" i="9"/>
  <c r="P14" i="9"/>
  <c r="S14" i="9"/>
  <c r="P15" i="9"/>
  <c r="S15" i="9"/>
  <c r="P17" i="9"/>
  <c r="S17" i="9"/>
  <c r="P19" i="9"/>
  <c r="S19" i="9"/>
  <c r="P20" i="9"/>
  <c r="P21" i="9"/>
  <c r="P23" i="9"/>
  <c r="S23" i="9"/>
  <c r="P24" i="9"/>
  <c r="S24" i="9"/>
  <c r="P25" i="9"/>
  <c r="S25" i="9"/>
  <c r="P26" i="9"/>
  <c r="S26" i="9"/>
  <c r="P27" i="9"/>
  <c r="P28" i="9"/>
  <c r="P29" i="9"/>
  <c r="P30" i="9"/>
  <c r="P31" i="9"/>
  <c r="P32" i="9"/>
  <c r="S32" i="9"/>
  <c r="P33" i="9"/>
  <c r="P35" i="9"/>
  <c r="S35" i="9"/>
  <c r="P36" i="9"/>
  <c r="S36" i="9"/>
  <c r="P37" i="9"/>
  <c r="P38" i="9"/>
  <c r="P39" i="9"/>
  <c r="P40" i="9"/>
  <c r="S40" i="9"/>
  <c r="P41" i="9"/>
  <c r="P42" i="9"/>
  <c r="S42" i="9"/>
  <c r="P43" i="9"/>
  <c r="S43" i="9"/>
  <c r="C150" i="11"/>
  <c r="P3" i="8"/>
  <c r="P4" i="8"/>
  <c r="P5" i="8"/>
  <c r="P6" i="8"/>
  <c r="P7" i="8"/>
  <c r="P8" i="8"/>
  <c r="P9" i="8"/>
  <c r="P10" i="8"/>
  <c r="P11" i="8"/>
  <c r="S11" i="8"/>
  <c r="P12" i="8"/>
  <c r="P13" i="8"/>
  <c r="P14" i="8"/>
  <c r="S14" i="8"/>
  <c r="P15" i="8"/>
  <c r="S15" i="8"/>
  <c r="P16" i="8"/>
  <c r="S16" i="8"/>
  <c r="P17" i="8"/>
  <c r="P18" i="8"/>
  <c r="P19" i="8"/>
  <c r="P20" i="8"/>
  <c r="P21" i="8"/>
  <c r="S21" i="8"/>
  <c r="P22" i="8"/>
  <c r="S22" i="8"/>
  <c r="P23" i="8"/>
  <c r="P24" i="8"/>
  <c r="P25" i="8"/>
  <c r="S25" i="8"/>
  <c r="P26" i="8"/>
  <c r="P27" i="8"/>
  <c r="P28" i="8"/>
  <c r="P29" i="8"/>
  <c r="S29" i="8"/>
  <c r="P30" i="8"/>
  <c r="P31" i="8"/>
  <c r="P32" i="8"/>
  <c r="P33" i="8"/>
  <c r="P34" i="8"/>
  <c r="P35" i="8"/>
  <c r="P36" i="8"/>
  <c r="P37" i="8"/>
  <c r="S37" i="8"/>
  <c r="P38" i="8"/>
  <c r="S38" i="8"/>
  <c r="P39" i="8"/>
  <c r="P40" i="8"/>
  <c r="P41" i="8"/>
  <c r="P42" i="8"/>
  <c r="P43" i="8"/>
  <c r="S43" i="8"/>
  <c r="P44" i="8"/>
  <c r="P45" i="8"/>
  <c r="S45" i="8"/>
  <c r="P46" i="8"/>
  <c r="P47" i="8"/>
  <c r="S47" i="8"/>
  <c r="P48" i="8"/>
  <c r="P49" i="8"/>
  <c r="S49" i="8"/>
  <c r="P50" i="8"/>
  <c r="P51" i="8"/>
  <c r="P52" i="8"/>
  <c r="P53" i="8"/>
  <c r="P54" i="8"/>
  <c r="P55" i="8"/>
  <c r="S55" i="8"/>
  <c r="P56" i="8"/>
  <c r="P57" i="8"/>
  <c r="P58" i="8"/>
  <c r="P59" i="8"/>
  <c r="P60" i="8"/>
  <c r="S60" i="8"/>
  <c r="P61" i="8"/>
  <c r="S61" i="8"/>
  <c r="P62" i="8"/>
  <c r="S62" i="8"/>
  <c r="P63" i="8"/>
  <c r="S63" i="8"/>
  <c r="P64" i="8"/>
  <c r="S64" i="8"/>
  <c r="P65" i="8"/>
  <c r="S65" i="8"/>
  <c r="P66" i="8"/>
  <c r="P67" i="8"/>
  <c r="P68" i="8"/>
  <c r="S68" i="8"/>
  <c r="P69" i="8"/>
  <c r="P70" i="8"/>
  <c r="P71" i="8"/>
  <c r="P72" i="8"/>
  <c r="P73" i="8"/>
  <c r="P74" i="8"/>
  <c r="S74" i="8"/>
  <c r="P75" i="8"/>
  <c r="P76" i="8"/>
  <c r="P77" i="8"/>
  <c r="P78" i="8"/>
  <c r="P79" i="8"/>
  <c r="P80" i="8"/>
  <c r="P81" i="8"/>
  <c r="P82" i="8"/>
  <c r="S82" i="8"/>
  <c r="P83" i="8"/>
  <c r="S83" i="8"/>
  <c r="P84" i="8"/>
  <c r="P85" i="8"/>
  <c r="S85" i="8"/>
  <c r="P86" i="8"/>
  <c r="P87" i="8"/>
  <c r="S87" i="8"/>
  <c r="P3" i="10"/>
  <c r="P5" i="10"/>
  <c r="P6" i="10"/>
  <c r="P7" i="10"/>
  <c r="P8" i="10"/>
  <c r="P9" i="10"/>
  <c r="P10" i="10"/>
  <c r="P11" i="10"/>
  <c r="P12" i="10"/>
  <c r="P13" i="10"/>
  <c r="P14" i="10"/>
  <c r="P16" i="10"/>
  <c r="P20" i="10"/>
  <c r="P21" i="10"/>
  <c r="P22" i="10"/>
  <c r="P23" i="10"/>
  <c r="P25" i="10"/>
  <c r="P26" i="10"/>
  <c r="P27" i="10"/>
  <c r="P28" i="10"/>
  <c r="P29" i="10"/>
  <c r="P30" i="10"/>
  <c r="P31" i="10"/>
  <c r="P32" i="10"/>
  <c r="R42" i="10"/>
  <c r="S10" i="9"/>
  <c r="S11" i="9"/>
  <c r="S27" i="9"/>
  <c r="I69" i="6"/>
  <c r="K7" i="5"/>
  <c r="K10" i="5"/>
  <c r="L10" i="5"/>
  <c r="M10" i="5"/>
  <c r="K12" i="5"/>
  <c r="L12" i="5"/>
  <c r="M12" i="5"/>
  <c r="L14" i="5"/>
  <c r="M14" i="5"/>
  <c r="L15" i="5"/>
  <c r="M15" i="5"/>
  <c r="L16" i="5"/>
  <c r="M16" i="5"/>
  <c r="K18" i="5"/>
  <c r="L18" i="5"/>
  <c r="M18" i="5"/>
  <c r="K19" i="5"/>
  <c r="L19" i="5"/>
  <c r="M19" i="5"/>
  <c r="K23" i="5"/>
  <c r="L23" i="5"/>
  <c r="M23" i="5"/>
  <c r="K24" i="5"/>
  <c r="L24" i="5"/>
  <c r="M24" i="5"/>
  <c r="K25" i="5"/>
  <c r="L25" i="5"/>
  <c r="M25" i="5"/>
  <c r="K26" i="5"/>
  <c r="L26" i="5"/>
  <c r="M26" i="5"/>
  <c r="K27" i="5"/>
  <c r="L27" i="5"/>
  <c r="M27" i="5"/>
  <c r="K28" i="5"/>
  <c r="L28" i="5"/>
  <c r="M28" i="5"/>
  <c r="K30" i="5"/>
  <c r="L30" i="5"/>
  <c r="M30" i="5"/>
  <c r="K31" i="5"/>
  <c r="L31" i="5"/>
  <c r="M31" i="5"/>
  <c r="I32" i="5"/>
  <c r="K3" i="4"/>
  <c r="K4" i="4"/>
  <c r="M4" i="4"/>
  <c r="K5" i="4"/>
  <c r="M5" i="4"/>
  <c r="I51" i="4"/>
  <c r="P24" i="10"/>
  <c r="S22" i="10"/>
  <c r="S14" i="10"/>
  <c r="P19" i="10"/>
  <c r="S21" i="10"/>
  <c r="S13" i="10"/>
  <c r="P4" i="10"/>
  <c r="P18" i="9"/>
  <c r="L51" i="4"/>
  <c r="S84" i="8"/>
  <c r="S77" i="8"/>
  <c r="S75" i="8"/>
  <c r="S73" i="8"/>
  <c r="S71" i="8"/>
  <c r="S67" i="8"/>
  <c r="S59" i="8"/>
  <c r="S58" i="8"/>
  <c r="S53" i="8"/>
  <c r="S44" i="8"/>
  <c r="S41" i="8"/>
  <c r="S35" i="8"/>
  <c r="S31" i="8"/>
  <c r="S23" i="8"/>
  <c r="S27" i="8"/>
  <c r="S26" i="8"/>
  <c r="S19" i="8"/>
  <c r="S13" i="8"/>
  <c r="S9" i="8"/>
  <c r="S7" i="8"/>
  <c r="S6" i="8"/>
  <c r="S5" i="8"/>
  <c r="L32" i="5"/>
  <c r="L69" i="6"/>
  <c r="C151" i="11"/>
  <c r="R35" i="10"/>
  <c r="R43" i="10"/>
  <c r="J6" i="1"/>
  <c r="B7" i="1"/>
  <c r="K6" i="1"/>
  <c r="J3" i="1"/>
  <c r="J7" i="1"/>
  <c r="S88" i="8"/>
  <c r="C5" i="1"/>
  <c r="C7" i="1"/>
  <c r="S35" i="10"/>
  <c r="S21" i="9"/>
  <c r="S13" i="9"/>
  <c r="S39" i="9"/>
  <c r="S31" i="9"/>
  <c r="S44" i="9"/>
  <c r="F3" i="9"/>
  <c r="D3" i="9"/>
  <c r="K7" i="6"/>
  <c r="M7" i="6"/>
  <c r="K30" i="6"/>
  <c r="M30" i="6"/>
  <c r="K38" i="6"/>
  <c r="M38" i="6"/>
  <c r="K47" i="6"/>
  <c r="M47" i="6"/>
  <c r="K8" i="6"/>
  <c r="M8" i="6"/>
  <c r="K22" i="6"/>
  <c r="M22" i="6"/>
  <c r="K31" i="6"/>
  <c r="M31" i="6"/>
  <c r="K39" i="6"/>
  <c r="M39" i="6"/>
  <c r="K48" i="6"/>
  <c r="M48" i="6"/>
  <c r="K56" i="6"/>
  <c r="M56" i="6"/>
  <c r="K64" i="6"/>
  <c r="M64" i="6"/>
  <c r="K63" i="6"/>
  <c r="M63" i="6"/>
  <c r="K9" i="6"/>
  <c r="M9" i="6"/>
  <c r="K23" i="6"/>
  <c r="M23" i="6"/>
  <c r="K32" i="6"/>
  <c r="M32" i="6"/>
  <c r="K40" i="6"/>
  <c r="M40" i="6"/>
  <c r="K49" i="6"/>
  <c r="M49" i="6"/>
  <c r="K57" i="6"/>
  <c r="M57" i="6"/>
  <c r="K65" i="6"/>
  <c r="M65" i="6"/>
  <c r="K20" i="6"/>
  <c r="M20" i="6"/>
  <c r="K55" i="6"/>
  <c r="M55" i="6"/>
  <c r="K15" i="6"/>
  <c r="M15" i="6"/>
  <c r="K24" i="6"/>
  <c r="M24" i="6"/>
  <c r="K33" i="6"/>
  <c r="M33" i="6"/>
  <c r="K41" i="6"/>
  <c r="M41" i="6"/>
  <c r="K50" i="6"/>
  <c r="M50" i="6"/>
  <c r="K58" i="6"/>
  <c r="M58" i="6"/>
  <c r="K66" i="6"/>
  <c r="M66" i="6"/>
  <c r="K16" i="6"/>
  <c r="M16" i="6"/>
  <c r="K26" i="6"/>
  <c r="M26" i="6"/>
  <c r="K34" i="6"/>
  <c r="M34" i="6"/>
  <c r="K42" i="6"/>
  <c r="M42" i="6"/>
  <c r="K51" i="6"/>
  <c r="M51" i="6"/>
  <c r="K59" i="6"/>
  <c r="M59" i="6"/>
  <c r="K67" i="6"/>
  <c r="M67" i="6"/>
  <c r="K4" i="6"/>
  <c r="M4" i="6"/>
  <c r="K17" i="6"/>
  <c r="M17" i="6"/>
  <c r="K27" i="6"/>
  <c r="M27" i="6"/>
  <c r="K35" i="6"/>
  <c r="M35" i="6"/>
  <c r="K43" i="6"/>
  <c r="M43" i="6"/>
  <c r="K52" i="6"/>
  <c r="M52" i="6"/>
  <c r="K60" i="6"/>
  <c r="M60" i="6"/>
  <c r="K13" i="5"/>
  <c r="M13" i="5"/>
  <c r="K5" i="5"/>
  <c r="M5" i="5"/>
  <c r="M32" i="5"/>
  <c r="G4" i="1"/>
  <c r="K4" i="1"/>
  <c r="K21" i="5"/>
  <c r="M21" i="5"/>
  <c r="K6" i="5"/>
  <c r="M6" i="5"/>
  <c r="K22" i="5"/>
  <c r="M22" i="5"/>
  <c r="K16" i="4"/>
  <c r="M16" i="4"/>
  <c r="K23" i="4"/>
  <c r="M23" i="4"/>
  <c r="K31" i="4"/>
  <c r="K39" i="4"/>
  <c r="M39" i="4"/>
  <c r="K32" i="4"/>
  <c r="M32" i="4"/>
  <c r="K12" i="4"/>
  <c r="M12" i="4"/>
  <c r="K36" i="4"/>
  <c r="M36" i="4"/>
  <c r="K13" i="4"/>
  <c r="M13" i="4"/>
  <c r="K21" i="4"/>
  <c r="M21" i="4"/>
  <c r="K28" i="4"/>
  <c r="M28" i="4"/>
  <c r="K37" i="4"/>
  <c r="M37" i="4"/>
  <c r="K44" i="4"/>
  <c r="M44" i="4"/>
  <c r="K47" i="4"/>
  <c r="M47" i="4"/>
  <c r="K27" i="4"/>
  <c r="M27" i="4"/>
  <c r="K50" i="4"/>
  <c r="M50" i="4"/>
  <c r="K6" i="4"/>
  <c r="M6" i="4"/>
  <c r="K14" i="4"/>
  <c r="M14" i="4"/>
  <c r="K29" i="4"/>
  <c r="K45" i="4"/>
  <c r="M45" i="4"/>
  <c r="K40" i="4"/>
  <c r="M40" i="4"/>
  <c r="K20" i="4"/>
  <c r="M20" i="4"/>
  <c r="K43" i="4"/>
  <c r="M43" i="4"/>
  <c r="K8" i="4"/>
  <c r="M8" i="4"/>
  <c r="K15" i="4"/>
  <c r="M15" i="4"/>
  <c r="K22" i="4"/>
  <c r="M22" i="4"/>
  <c r="K30" i="4"/>
  <c r="M30" i="4"/>
  <c r="K38" i="4"/>
  <c r="M38" i="4"/>
  <c r="K46" i="4"/>
  <c r="M46" i="4"/>
  <c r="K9" i="4"/>
  <c r="K17" i="4"/>
  <c r="M17" i="4"/>
  <c r="K24" i="4"/>
  <c r="M24" i="4"/>
  <c r="K10" i="4"/>
  <c r="M10" i="4"/>
  <c r="K18" i="4"/>
  <c r="M18" i="4"/>
  <c r="K25" i="4"/>
  <c r="M25" i="4"/>
  <c r="K34" i="4"/>
  <c r="M34" i="4"/>
  <c r="K41" i="4"/>
  <c r="M41" i="4"/>
  <c r="K48" i="4"/>
  <c r="M48" i="4"/>
  <c r="K11" i="4"/>
  <c r="M11" i="4"/>
  <c r="K19" i="4"/>
  <c r="M19" i="4"/>
  <c r="K26" i="4"/>
  <c r="M26" i="4"/>
  <c r="K35" i="4"/>
  <c r="M35" i="4"/>
  <c r="K42" i="4"/>
  <c r="M42" i="4"/>
  <c r="P3" i="9"/>
  <c r="M69" i="6"/>
  <c r="G5" i="1"/>
  <c r="K5" i="1"/>
  <c r="M51" i="4"/>
  <c r="G3" i="1"/>
  <c r="G7" i="1"/>
  <c r="K3" i="1"/>
  <c r="K7" i="1"/>
</calcChain>
</file>

<file path=xl/sharedStrings.xml><?xml version="1.0" encoding="utf-8"?>
<sst xmlns="http://schemas.openxmlformats.org/spreadsheetml/2006/main" count="3650" uniqueCount="637">
  <si>
    <t>dmis_id</t>
  </si>
  <si>
    <t>dmis_name</t>
  </si>
  <si>
    <t>facility_type</t>
  </si>
  <si>
    <t>Number of IP Dispositions for CFY</t>
  </si>
  <si>
    <t>FY2006</t>
  </si>
  <si>
    <t>FY2007</t>
  </si>
  <si>
    <t>FY2008</t>
  </si>
  <si>
    <t>FY2009</t>
  </si>
  <si>
    <t>FY2010</t>
  </si>
  <si>
    <t>Factor Calculation</t>
  </si>
  <si>
    <t>0001</t>
  </si>
  <si>
    <t>Redstone Arsenal (Fox Army Health Clinic)</t>
  </si>
  <si>
    <t>C</t>
  </si>
  <si>
    <t xml:space="preserve"> </t>
  </si>
  <si>
    <t>0002</t>
  </si>
  <si>
    <t>Ft. McClellan (Patterson ACH)</t>
  </si>
  <si>
    <t>I</t>
  </si>
  <si>
    <t>0003</t>
  </si>
  <si>
    <t>Ft. Rucker (Lyster Army Health Clinic)</t>
  </si>
  <si>
    <t>0005</t>
  </si>
  <si>
    <t>Ft. Wainwright (Bassett Army Community Hospital)</t>
  </si>
  <si>
    <t>H</t>
  </si>
  <si>
    <t>0008</t>
  </si>
  <si>
    <t>Ft. Huachuca (Bliss Army Health Clinic)</t>
  </si>
  <si>
    <t>0032</t>
  </si>
  <si>
    <t>Ft. Carson (Evans Army Community Hospital)</t>
  </si>
  <si>
    <t>0037</t>
  </si>
  <si>
    <t>Washington D.C. (Walter Reed Army Medical Center)</t>
  </si>
  <si>
    <t>0047</t>
  </si>
  <si>
    <t>Ft. Gordon (Eisenhower Army Medical Center)</t>
  </si>
  <si>
    <t>0048</t>
  </si>
  <si>
    <t>Ft. Benning (Martin Army Community Hospital)</t>
  </si>
  <si>
    <t>0049</t>
  </si>
  <si>
    <t>Ft. Stewart (Winn Army Community Hospital)</t>
  </si>
  <si>
    <t>0052</t>
  </si>
  <si>
    <t>Ft. Shafter (Tripler Army Medical Center)</t>
  </si>
  <si>
    <t>0057</t>
  </si>
  <si>
    <t>Ft. Riley (Irwin Army Community Hospital)</t>
  </si>
  <si>
    <t>0058</t>
  </si>
  <si>
    <t>Ft. Leavenworth (Munson Army Health Clinic)</t>
  </si>
  <si>
    <t>0060</t>
  </si>
  <si>
    <t>Ft. Campbell (Blanchfield Army Comm Hospital)</t>
  </si>
  <si>
    <t>0061</t>
  </si>
  <si>
    <t>Ft. Knox (Ireland Army Community Hospital)</t>
  </si>
  <si>
    <t>0064</t>
  </si>
  <si>
    <t>Ft. Polk (Bayne-Jones Army Community Hospital)</t>
  </si>
  <si>
    <t>0069</t>
  </si>
  <si>
    <t>Ft. Meade (Kimbrough Ambulatory Care Center)</t>
  </si>
  <si>
    <t>0075</t>
  </si>
  <si>
    <t>Ft. Leonard Wood (Wood Army Community Hospital)</t>
  </si>
  <si>
    <t>0081</t>
  </si>
  <si>
    <t>Ft. Monmouth (Patterson Army Health Clinic)</t>
  </si>
  <si>
    <t>0086</t>
  </si>
  <si>
    <t>West Point (Keller Army Community Hospital)</t>
  </si>
  <si>
    <t>0089</t>
  </si>
  <si>
    <t>Ft. Bragg (Womack Army Medical Center)</t>
  </si>
  <si>
    <t>0098</t>
  </si>
  <si>
    <t>Ft. Sill (Reynolds Army Community Hospital)</t>
  </si>
  <si>
    <t>0105</t>
  </si>
  <si>
    <t>Ft. Jackson (Moncrief Army Community Hospital)</t>
  </si>
  <si>
    <t>0108</t>
  </si>
  <si>
    <t>Ft. Bliss (William Beaumont Army Medical Center)</t>
  </si>
  <si>
    <t>0109</t>
  </si>
  <si>
    <t>Ft. Sam Houston (Brooke Army Medical Center)</t>
  </si>
  <si>
    <t>0110</t>
  </si>
  <si>
    <t>Ft. Hood (C.R. Darnall Army Medical Center)</t>
  </si>
  <si>
    <t>0121</t>
  </si>
  <si>
    <t>Ft. Eustis (McDonald Army Health Center)</t>
  </si>
  <si>
    <t>0122</t>
  </si>
  <si>
    <t>Ft. Lee (Kenner Army Health Clinic)</t>
  </si>
  <si>
    <t>0123</t>
  </si>
  <si>
    <t>0125</t>
  </si>
  <si>
    <t>Ft. Lewis (Madigan Army Medical Center)</t>
  </si>
  <si>
    <t>0131</t>
  </si>
  <si>
    <t>Ft. Irwin (Weed Army Community Hospital)</t>
  </si>
  <si>
    <t>0206</t>
  </si>
  <si>
    <t>Yuma Proving Grounds</t>
  </si>
  <si>
    <t>0256</t>
  </si>
  <si>
    <t>Pentagon Army Health Clinic</t>
  </si>
  <si>
    <t>0273</t>
  </si>
  <si>
    <t>Ft. McPherson (Lawrence Joel Army Health Clinic)</t>
  </si>
  <si>
    <t>0308</t>
  </si>
  <si>
    <t>Aberdeen Proving Grounds (Kirk Army Health Clinic)</t>
  </si>
  <si>
    <t>0309</t>
  </si>
  <si>
    <t>Ft. Detrick US Army Health Clinic</t>
  </si>
  <si>
    <t>0330</t>
  </si>
  <si>
    <t>Ft. Drum (Guthrie Army Health Clinic)</t>
  </si>
  <si>
    <t>0350</t>
  </si>
  <si>
    <t>Ft. Indiantown Gap US Army Health Clinic</t>
  </si>
  <si>
    <t>0351</t>
  </si>
  <si>
    <t>Letterkenny US Army Health Clinic</t>
  </si>
  <si>
    <t>0352</t>
  </si>
  <si>
    <t>Carlisle (Dunham Army Health Clinic)</t>
  </si>
  <si>
    <t>0353</t>
  </si>
  <si>
    <t>Tobyhanna US Army Health Clinic</t>
  </si>
  <si>
    <t>0371</t>
  </si>
  <si>
    <t>Dugway Proving Ground</t>
  </si>
  <si>
    <t>0441</t>
  </si>
  <si>
    <t>New Cumberland US Army Health Clinic</t>
  </si>
  <si>
    <t>0606</t>
  </si>
  <si>
    <t>Heidelberg MEDDAC</t>
  </si>
  <si>
    <t>0607</t>
  </si>
  <si>
    <t>Landstuhl Regional Medical Center</t>
  </si>
  <si>
    <t>0609</t>
  </si>
  <si>
    <t>Bavaria MEDDAC</t>
  </si>
  <si>
    <t>0610</t>
  </si>
  <si>
    <t>MEDDAC Japan</t>
  </si>
  <si>
    <t>0612</t>
  </si>
  <si>
    <t>Brian Allgood ACH - Seoul</t>
  </si>
  <si>
    <t>Average</t>
  </si>
  <si>
    <t>0024</t>
  </si>
  <si>
    <t>NH Camp Pendelton</t>
  </si>
  <si>
    <t>0028</t>
  </si>
  <si>
    <t>NH Lemoore</t>
  </si>
  <si>
    <t>0029</t>
  </si>
  <si>
    <t>NMC San Diego</t>
  </si>
  <si>
    <t>0030</t>
  </si>
  <si>
    <t>NH 29 Palms</t>
  </si>
  <si>
    <t>0035</t>
  </si>
  <si>
    <t>NBHC Groton</t>
  </si>
  <si>
    <t>0038</t>
  </si>
  <si>
    <t>NH Pensacola</t>
  </si>
  <si>
    <t>0039</t>
  </si>
  <si>
    <t>NH Jacksonville</t>
  </si>
  <si>
    <t>0056</t>
  </si>
  <si>
    <t>NHC Great Lakes</t>
  </si>
  <si>
    <t>0067</t>
  </si>
  <si>
    <t>0068</t>
  </si>
  <si>
    <t>NHC Patuxent River</t>
  </si>
  <si>
    <t>0091</t>
  </si>
  <si>
    <t>NH Camp Lejeune</t>
  </si>
  <si>
    <t>0092</t>
  </si>
  <si>
    <t>NHC Cherry Point</t>
  </si>
  <si>
    <t>0100</t>
  </si>
  <si>
    <t>NBHC Newport</t>
  </si>
  <si>
    <t>0103</t>
  </si>
  <si>
    <t>NHC Charleston</t>
  </si>
  <si>
    <t>0104</t>
  </si>
  <si>
    <t>NH Beaufort</t>
  </si>
  <si>
    <t>0107</t>
  </si>
  <si>
    <t>NBHC NSA Mid-South</t>
  </si>
  <si>
    <t>0118</t>
  </si>
  <si>
    <t>NHC Corpus Christi</t>
  </si>
  <si>
    <t>0124</t>
  </si>
  <si>
    <t>NMC Portsmouth (VA)</t>
  </si>
  <si>
    <t>0126</t>
  </si>
  <si>
    <t>NH Bremerton</t>
  </si>
  <si>
    <t>0127</t>
  </si>
  <si>
    <t>NH Oak Harbor</t>
  </si>
  <si>
    <t>0280</t>
  </si>
  <si>
    <t>NHC Hawaii</t>
  </si>
  <si>
    <t>0297</t>
  </si>
  <si>
    <t>NACC New Orleans</t>
  </si>
  <si>
    <t>0306</t>
  </si>
  <si>
    <t>NHC Annapolis</t>
  </si>
  <si>
    <t>0321</t>
  </si>
  <si>
    <t>NBHC Portsmouth (NH)</t>
  </si>
  <si>
    <t>0385</t>
  </si>
  <si>
    <t>NHC Quantico</t>
  </si>
  <si>
    <t>0616</t>
  </si>
  <si>
    <t>NH Roosevelt Roads</t>
  </si>
  <si>
    <t>0620</t>
  </si>
  <si>
    <t>NH Guam</t>
  </si>
  <si>
    <t>0621</t>
  </si>
  <si>
    <t>NH Okinawa</t>
  </si>
  <si>
    <t>0622</t>
  </si>
  <si>
    <t>NH Yokosuka</t>
  </si>
  <si>
    <t>Total Collections</t>
  </si>
  <si>
    <t>Buckley AFB (460th Medical Squadron)</t>
  </si>
  <si>
    <t>7200</t>
  </si>
  <si>
    <t>Hurlburt FLD (1st Special Operations Medical Group)</t>
  </si>
  <si>
    <t>7139</t>
  </si>
  <si>
    <t>Bolling AFB (579th Medical Group)</t>
  </si>
  <si>
    <t>0413</t>
  </si>
  <si>
    <t>McChord AFB (62nd Medical Group)</t>
  </si>
  <si>
    <t>0395</t>
  </si>
  <si>
    <t>Randolph AFB (12 Medical Group)</t>
  </si>
  <si>
    <t>0366</t>
  </si>
  <si>
    <t>Kelly AFB</t>
  </si>
  <si>
    <t>0365</t>
  </si>
  <si>
    <t>Goodfellow AFB (17th Medical Group)</t>
  </si>
  <si>
    <t>0364</t>
  </si>
  <si>
    <t>Brooks AFB (311th Medical Squad)</t>
  </si>
  <si>
    <t>0363</t>
  </si>
  <si>
    <t>Charleston AFB (437th Medical Group)</t>
  </si>
  <si>
    <t>0356</t>
  </si>
  <si>
    <t>Vance AFB (71st Medical Group)</t>
  </si>
  <si>
    <t>0338</t>
  </si>
  <si>
    <t>Pope AFB (43rd Medical Group)</t>
  </si>
  <si>
    <t>0335</t>
  </si>
  <si>
    <t>McGuire AFB (305th Medical Group)</t>
  </si>
  <si>
    <t>0326</t>
  </si>
  <si>
    <t>Hanscom AFB (66th Medical Group)</t>
  </si>
  <si>
    <t>0310</t>
  </si>
  <si>
    <t>Hickam AFB (15th Medical Group)</t>
  </si>
  <si>
    <t>0287</t>
  </si>
  <si>
    <t>Peterson AFB (21st Medical Group)</t>
  </si>
  <si>
    <t>0252</t>
  </si>
  <si>
    <t>McClellan AFB (77th Medical Group)</t>
  </si>
  <si>
    <t>0250</t>
  </si>
  <si>
    <t>Los Angeles AFB (61st Medical Squad)</t>
  </si>
  <si>
    <t>0248</t>
  </si>
  <si>
    <t>Eielson AFB (354th Medical Group)</t>
  </si>
  <si>
    <t>0203</t>
  </si>
  <si>
    <t>F.E. Warren AFB (90th Medical Group)</t>
  </si>
  <si>
    <t>0129</t>
  </si>
  <si>
    <t>Fairchild AFB (92nd Medical Group)</t>
  </si>
  <si>
    <t>0128</t>
  </si>
  <si>
    <t>Langley AFB (1st Medical Group)</t>
  </si>
  <si>
    <t>0120</t>
  </si>
  <si>
    <t>Hill AFB (75th Medical Group)</t>
  </si>
  <si>
    <t>0119</t>
  </si>
  <si>
    <t>Lackland AFB (59th Medical Wing)</t>
  </si>
  <si>
    <t>0117</t>
  </si>
  <si>
    <t>Laughlin AFB (47th Medical Group)</t>
  </si>
  <si>
    <t>0114</t>
  </si>
  <si>
    <t>Sheppard AFB (82nd Medical Group)</t>
  </si>
  <si>
    <t>0113</t>
  </si>
  <si>
    <t>Dyess AFB (7th Medical Group)</t>
  </si>
  <si>
    <t>0112</t>
  </si>
  <si>
    <t>Ellsworth AFB (28th Medical Group)</t>
  </si>
  <si>
    <t>0106</t>
  </si>
  <si>
    <t>Shaw AFB (20th Medical Group)</t>
  </si>
  <si>
    <t>0101</t>
  </si>
  <si>
    <t>Altus AFB (97th Medical Group)</t>
  </si>
  <si>
    <t>0097</t>
  </si>
  <si>
    <t>Tinker AFB (72th Medical Group)</t>
  </si>
  <si>
    <t>0096</t>
  </si>
  <si>
    <t>Wright Patterson AFB (88th Medical Group)</t>
  </si>
  <si>
    <t>0095</t>
  </si>
  <si>
    <t>Minot AFB (5th Medical Group)</t>
  </si>
  <si>
    <t>0094</t>
  </si>
  <si>
    <t>Grand Forks AFB (319th Medical Group)</t>
  </si>
  <si>
    <t>0093</t>
  </si>
  <si>
    <t>Seymour Johnson AFB (4th Medical Group)</t>
  </si>
  <si>
    <t>0090</t>
  </si>
  <si>
    <t>Cannon AFB (27th Medical Group)</t>
  </si>
  <si>
    <t>0085</t>
  </si>
  <si>
    <t>Holloman AFB (49th Medical Group)</t>
  </si>
  <si>
    <t>0084</t>
  </si>
  <si>
    <t>Kirtland AFB (377th Medical Group)</t>
  </si>
  <si>
    <t>0083</t>
  </si>
  <si>
    <t>Nellis AFB (99th Medical Group)</t>
  </si>
  <si>
    <t>0079</t>
  </si>
  <si>
    <t>Offutt AFB (55th Medical Group)</t>
  </si>
  <si>
    <t>0078</t>
  </si>
  <si>
    <t>Malmstrom AFB (341st Medical Group)</t>
  </si>
  <si>
    <t>0077</t>
  </si>
  <si>
    <t>Whiteman AFB (509th Medical Group)</t>
  </si>
  <si>
    <t>0076</t>
  </si>
  <si>
    <t>Columbus AFB (14th Medical Group)</t>
  </si>
  <si>
    <t>0074</t>
  </si>
  <si>
    <t>Keesler AFB (81st Medical Group)</t>
  </si>
  <si>
    <t>0073</t>
  </si>
  <si>
    <t>Andrews AFB (79th Medical Group)</t>
  </si>
  <si>
    <t>0066</t>
  </si>
  <si>
    <t>Barksdale AFB (2nd Medical Group)</t>
  </si>
  <si>
    <t>0062</t>
  </si>
  <si>
    <t>McConnell AFB (22nd Medical Group)</t>
  </si>
  <si>
    <t>0059</t>
  </si>
  <si>
    <t>Scott AFB (375th Medical Group)</t>
  </si>
  <si>
    <t>0055</t>
  </si>
  <si>
    <t>Mountain Home AFB (366th Medical Group)</t>
  </si>
  <si>
    <t>0053</t>
  </si>
  <si>
    <t>Robins AFB (78th Medical Group)</t>
  </si>
  <si>
    <t>0051</t>
  </si>
  <si>
    <t>Moody AFB (347th Medical Group)</t>
  </si>
  <si>
    <t>0050</t>
  </si>
  <si>
    <t>Patrick AFB (45th Medical Group)</t>
  </si>
  <si>
    <t>0046</t>
  </si>
  <si>
    <t>MacDill AFB (6th Medical Group)</t>
  </si>
  <si>
    <t>0045</t>
  </si>
  <si>
    <t>Tyndall AFB (325th Medical Group)</t>
  </si>
  <si>
    <t>0043</t>
  </si>
  <si>
    <t>Eglin AFB (96th Medical Group)</t>
  </si>
  <si>
    <t>0042</t>
  </si>
  <si>
    <t>Dover AFB (436th Medical Group)</t>
  </si>
  <si>
    <t>0036</t>
  </si>
  <si>
    <t>USAF Academy (10th Medical Group)</t>
  </si>
  <si>
    <t>0033</t>
  </si>
  <si>
    <t>Edwards AFB (95th Medical Group)</t>
  </si>
  <si>
    <t>0019</t>
  </si>
  <si>
    <t>Vandenberg AFB (30th Medical Group)</t>
  </si>
  <si>
    <t>0018</t>
  </si>
  <si>
    <t>Beale AFB (9th Medical Group)</t>
  </si>
  <si>
    <t>0015</t>
  </si>
  <si>
    <t>Travis AFB (60th Medical Group)</t>
  </si>
  <si>
    <t>0014</t>
  </si>
  <si>
    <t>Little Rock AFB (314th Medical Group)</t>
  </si>
  <si>
    <t>0013</t>
  </si>
  <si>
    <t>Davis Monthan AFB (355th Medical Group)</t>
  </si>
  <si>
    <t>0010</t>
  </si>
  <si>
    <t>Luke AFB (56th Medical Group)</t>
  </si>
  <si>
    <t>0009</t>
  </si>
  <si>
    <t>0006</t>
  </si>
  <si>
    <t>Maxwell AFB (42nd Medical Group)</t>
  </si>
  <si>
    <t>0004</t>
  </si>
  <si>
    <t>Total IP Collections In CY by DMIS ID</t>
  </si>
  <si>
    <t>NULL</t>
  </si>
  <si>
    <t>DMIS ID</t>
  </si>
  <si>
    <t>DMIS Facility Name</t>
  </si>
  <si>
    <t>Reporting Month</t>
  </si>
  <si>
    <t>AIR FORCE</t>
  </si>
  <si>
    <t>ACC</t>
  </si>
  <si>
    <t>9th MED GRP-BEALE</t>
  </si>
  <si>
    <t>Beale</t>
  </si>
  <si>
    <t>355th MED GRP-DAVIS MONTHAN</t>
  </si>
  <si>
    <t>DM</t>
  </si>
  <si>
    <t>7th MED GRP-DYESS</t>
  </si>
  <si>
    <t>Dyess</t>
  </si>
  <si>
    <t>28th MED GRP-ELLSWORTH</t>
  </si>
  <si>
    <t>Ellsworth</t>
  </si>
  <si>
    <t>49th MED GRP-HOLLOMAN</t>
  </si>
  <si>
    <t>Holloman</t>
  </si>
  <si>
    <t>1st MED GRP-LANGLEY</t>
  </si>
  <si>
    <t>Langley</t>
  </si>
  <si>
    <t>366th MED GRP-MOUNTAIN HOME</t>
  </si>
  <si>
    <t>Mt Home</t>
  </si>
  <si>
    <t>23rd MED GRP-MOODY</t>
  </si>
  <si>
    <t>Moody</t>
  </si>
  <si>
    <t>99th MED GRP-O'CALLAGHAN HOSP</t>
  </si>
  <si>
    <t>Nellis</t>
  </si>
  <si>
    <t>55th MED GRP-OFFUTT</t>
  </si>
  <si>
    <t>Offutt</t>
  </si>
  <si>
    <t>4th MED GRP-SEYMOUR JOHNSON</t>
  </si>
  <si>
    <t>Sey-John</t>
  </si>
  <si>
    <t>20th MED GRP-SHAW</t>
  </si>
  <si>
    <t>Shaw</t>
  </si>
  <si>
    <t>AETC</t>
  </si>
  <si>
    <t>97th MED GRP-ALTUS</t>
  </si>
  <si>
    <t>Altus</t>
  </si>
  <si>
    <t>14th MED GRP-COLUMBUS</t>
  </si>
  <si>
    <t>Columbus</t>
  </si>
  <si>
    <t>17th MED GRP-GOODFELLOW</t>
  </si>
  <si>
    <t>Goodfellow</t>
  </si>
  <si>
    <t>81st MED GRP-KEESLER</t>
  </si>
  <si>
    <t>Keesler</t>
  </si>
  <si>
    <t>59th MED WING-LACKLAND</t>
  </si>
  <si>
    <t>Lackland (Wilford Hall)</t>
  </si>
  <si>
    <t>47th MED GRP-LAUGHLIN</t>
  </si>
  <si>
    <t>Laughlin</t>
  </si>
  <si>
    <t>56th MED GRP-LUKE</t>
  </si>
  <si>
    <t>Luke</t>
  </si>
  <si>
    <t>42ND MEDICAL GROUP-MAXWELL</t>
  </si>
  <si>
    <t>Maxwell</t>
  </si>
  <si>
    <t>12th MED GRP-RANDOLPH</t>
  </si>
  <si>
    <t>Randolph</t>
  </si>
  <si>
    <t>82nd MED GRP-SHEPPARD</t>
  </si>
  <si>
    <t>Sheppard</t>
  </si>
  <si>
    <t>325th MED GRP-TYNDALL</t>
  </si>
  <si>
    <t>Tyndall</t>
  </si>
  <si>
    <t>71st MED GRP-VANCE</t>
  </si>
  <si>
    <t>Vance</t>
  </si>
  <si>
    <t>AFDW</t>
  </si>
  <si>
    <t>779th MED GRP-ANDREWS</t>
  </si>
  <si>
    <t>Andrews</t>
  </si>
  <si>
    <t>579TH MED GROUP-BOLLING</t>
  </si>
  <si>
    <t>Bolling</t>
  </si>
  <si>
    <t>AFGSC</t>
  </si>
  <si>
    <t>2nd MED GRP-BARKSDALE</t>
  </si>
  <si>
    <t>Barksdale</t>
  </si>
  <si>
    <t>90th MED GRP-F.E. WARREN</t>
  </si>
  <si>
    <t>FE Warren</t>
  </si>
  <si>
    <t>341st MED GRP-MALMSTROM</t>
  </si>
  <si>
    <t>Malmstrom</t>
  </si>
  <si>
    <t>5th MED GRP-MINOT</t>
  </si>
  <si>
    <t>Minot</t>
  </si>
  <si>
    <t>509th MED GRP-WHITEMAN</t>
  </si>
  <si>
    <t>Whiteman</t>
  </si>
  <si>
    <t>AFMC</t>
  </si>
  <si>
    <t>95th MED GRP-EDWARDS</t>
  </si>
  <si>
    <t>Edwards</t>
  </si>
  <si>
    <t>96th MED GRP-EGLIN</t>
  </si>
  <si>
    <t>Elgin</t>
  </si>
  <si>
    <t>66th MED GRP-HANSCOM</t>
  </si>
  <si>
    <t>Hanscom</t>
  </si>
  <si>
    <t>75th MED GRP-HILL</t>
  </si>
  <si>
    <t>Hill</t>
  </si>
  <si>
    <t>377th MED GRP-KIRTLAND</t>
  </si>
  <si>
    <t>Kirtland</t>
  </si>
  <si>
    <t>78th MED GRP-ROBINS</t>
  </si>
  <si>
    <t>Robins</t>
  </si>
  <si>
    <t>72nd MED GRP-TINKER</t>
  </si>
  <si>
    <t>Tinker</t>
  </si>
  <si>
    <t>88th MED GRP-WRIGHT-PATTERSON</t>
  </si>
  <si>
    <t>W Pat</t>
  </si>
  <si>
    <t>AFSOC</t>
  </si>
  <si>
    <t>1st SPEC OPS MED GRP-HURLBURT</t>
  </si>
  <si>
    <t>Hurlburt</t>
  </si>
  <si>
    <t>27th SPEC OPS MED GRP-CANNON</t>
  </si>
  <si>
    <t>Cannon</t>
  </si>
  <si>
    <t>AFSPC</t>
  </si>
  <si>
    <t>460th MED GRP-BUCKLEY AFB</t>
  </si>
  <si>
    <t>Buckley</t>
  </si>
  <si>
    <t>61st MED GROUP-LOS ANGELES</t>
  </si>
  <si>
    <t>LA</t>
  </si>
  <si>
    <t>21st MED GRP-PETERSON</t>
  </si>
  <si>
    <t>Peterson</t>
  </si>
  <si>
    <t>45th MED GRP-PATRICK</t>
  </si>
  <si>
    <t>Patrick</t>
  </si>
  <si>
    <t>30th MED GRP-VANDENBERG</t>
  </si>
  <si>
    <t>Vandenberg</t>
  </si>
  <si>
    <t>AMC</t>
  </si>
  <si>
    <t>437th MED GRP-CHARLESTON</t>
  </si>
  <si>
    <t>Charleston</t>
  </si>
  <si>
    <t>436th MED GRP-DOVER</t>
  </si>
  <si>
    <t>Dover</t>
  </si>
  <si>
    <t>92nd MED GRP-FAIRCHILD</t>
  </si>
  <si>
    <t>Fairchild</t>
  </si>
  <si>
    <t>319th MED GRP-GRAND FORKS</t>
  </si>
  <si>
    <t>Grand Forks</t>
  </si>
  <si>
    <t>19th MEDICAL GROUP-LITTLE ROCK</t>
  </si>
  <si>
    <t>Little Rock</t>
  </si>
  <si>
    <t>6th MED GRP-MACDILL</t>
  </si>
  <si>
    <t>MacDill</t>
  </si>
  <si>
    <t>22nd MED GRP-MCCONNELL</t>
  </si>
  <si>
    <t>McConnell</t>
  </si>
  <si>
    <t>305th MED GRP-MCGUIRE</t>
  </si>
  <si>
    <t>McGuire</t>
  </si>
  <si>
    <t>43RD MEDICAL GROUP-POPE</t>
  </si>
  <si>
    <t>Pope</t>
  </si>
  <si>
    <t>375th MED GRP-SCOTT</t>
  </si>
  <si>
    <t>Scott</t>
  </si>
  <si>
    <t>60th MED GRP-TRAVIS</t>
  </si>
  <si>
    <t>Travis</t>
  </si>
  <si>
    <t>PACAF</t>
  </si>
  <si>
    <t>0802</t>
  </si>
  <si>
    <t>36th MED GRP-ANDERSEN</t>
  </si>
  <si>
    <t>Andersen</t>
  </si>
  <si>
    <t>354th MED GRP-EIELSON</t>
  </si>
  <si>
    <t>Eielson</t>
  </si>
  <si>
    <t>3rd MED GRP-ELMENDORF</t>
  </si>
  <si>
    <t>Elmendorf</t>
  </si>
  <si>
    <t>15th MED GRP-HICKAM</t>
  </si>
  <si>
    <t>Hickam</t>
  </si>
  <si>
    <t>0804</t>
  </si>
  <si>
    <t>18th MED GRP-KADENA AB</t>
  </si>
  <si>
    <t>Kadena</t>
  </si>
  <si>
    <t>0637</t>
  </si>
  <si>
    <t>8th MED GRP-KUNSAN AB</t>
  </si>
  <si>
    <t>Kunsan</t>
  </si>
  <si>
    <t>0639</t>
  </si>
  <si>
    <t>35th MED GRP-MISAWA</t>
  </si>
  <si>
    <t>Misawa</t>
  </si>
  <si>
    <t>0638</t>
  </si>
  <si>
    <t>51st MED GRP-OSAN AB</t>
  </si>
  <si>
    <t>Osan</t>
  </si>
  <si>
    <t>0640</t>
  </si>
  <si>
    <t>374th MED GRP-YOKOTA AB</t>
  </si>
  <si>
    <t>Yokota</t>
  </si>
  <si>
    <t>USAFA</t>
  </si>
  <si>
    <t>10th MED GROUP-USAF ACADEMY CO</t>
  </si>
  <si>
    <t>Academy</t>
  </si>
  <si>
    <t>USAFE</t>
  </si>
  <si>
    <t>0808</t>
  </si>
  <si>
    <t>31st MED GRP-AVIANO</t>
  </si>
  <si>
    <t>Aviano</t>
  </si>
  <si>
    <t>0635</t>
  </si>
  <si>
    <t>39th MED GROUP-INCIRLIK</t>
  </si>
  <si>
    <t>Incirlik</t>
  </si>
  <si>
    <t>0629</t>
  </si>
  <si>
    <t>65th MED GRP-LAJES</t>
  </si>
  <si>
    <t>Lajes</t>
  </si>
  <si>
    <t>0633</t>
  </si>
  <si>
    <t>48th MED GRP-LAKENHEATH</t>
  </si>
  <si>
    <t>Lakenheath</t>
  </si>
  <si>
    <t>0806</t>
  </si>
  <si>
    <t>435th MEDICAL GROUP-RAMSTEIN</t>
  </si>
  <si>
    <t>Ramstein</t>
  </si>
  <si>
    <t>0805</t>
  </si>
  <si>
    <t>52nd MED GROUP-SPANGDAHLEM</t>
  </si>
  <si>
    <t>Spangdahlem</t>
  </si>
  <si>
    <t>0131 - FT. IRWIN</t>
  </si>
  <si>
    <t>WEED ACH-FT. IRWIN</t>
  </si>
  <si>
    <t>0125 - FT. LEWIS</t>
  </si>
  <si>
    <t>MADIGAN AMC-FT. LEWIS</t>
  </si>
  <si>
    <t>0108 - FT. BLISS</t>
  </si>
  <si>
    <t>WILLIAM BEAUMONT AMC-FT. BLISS</t>
  </si>
  <si>
    <t>0075 - FT. LEONARD WOOD</t>
  </si>
  <si>
    <t>L. WOOD ACH-FT. LEONARD WOOD</t>
  </si>
  <si>
    <t>0058 - FT. LEAVENWORTH</t>
  </si>
  <si>
    <t>MUNSON AHC-FT. LEAVENWORTH</t>
  </si>
  <si>
    <t>0057 - FT. RILEY</t>
  </si>
  <si>
    <t>IRWIN ACH-FT. RILEY</t>
  </si>
  <si>
    <t>0032 - FT. CARSON</t>
  </si>
  <si>
    <t>EVANS ACH-FT. CARSON</t>
  </si>
  <si>
    <t>0008 - FT. HUACHUCA</t>
  </si>
  <si>
    <t>R W BLISS AHC-FT. HUACHUCA</t>
  </si>
  <si>
    <t>0005 - FT. WAINWRIGHT</t>
  </si>
  <si>
    <t>BASSETT ACH-FT. WAINWRIGHT</t>
  </si>
  <si>
    <t>WRMC</t>
  </si>
  <si>
    <t>0110 - FT. HOOD</t>
  </si>
  <si>
    <t>DARNALL AMC-FT. HOOD</t>
  </si>
  <si>
    <t>0109 - FT. SAM HOUSTON</t>
  </si>
  <si>
    <t>BROOKE AMC-FT. SAM HOUSTON</t>
  </si>
  <si>
    <t>0105 - FT. JACKSON</t>
  </si>
  <si>
    <t>MONCRIEF ACH-FT. JACKSON</t>
  </si>
  <si>
    <t>0098 - FT. SILL</t>
  </si>
  <si>
    <t>REYNOLDS ACH-FT. SILL</t>
  </si>
  <si>
    <t>0064 - FT. POLK</t>
  </si>
  <si>
    <t>BAYNE-JONES ACH-FT. POLK</t>
  </si>
  <si>
    <t>0060 - FT. CAMPBELL</t>
  </si>
  <si>
    <t>BLANCHFIELD ACH-FT. CAMPBELL</t>
  </si>
  <si>
    <t>0049 - FT. STEWART</t>
  </si>
  <si>
    <t>WINN ACH-FT. STEWART</t>
  </si>
  <si>
    <t>0048 - FT. BENNING</t>
  </si>
  <si>
    <t>MARTIN ACH-FT. BENNING</t>
  </si>
  <si>
    <t>0047 - FT. GORDON</t>
  </si>
  <si>
    <t>EISENHOWER AMC-FT. GORDON</t>
  </si>
  <si>
    <t>0003 - FT. RUCKER</t>
  </si>
  <si>
    <t>LYSTER AHC-FT. RUCKER</t>
  </si>
  <si>
    <t>0001 - REDSTONE ARSENAL</t>
  </si>
  <si>
    <t>FOX AHC-REDSTONE ARSENAL</t>
  </si>
  <si>
    <t>SRMC</t>
  </si>
  <si>
    <t>0612 - SEOUL</t>
  </si>
  <si>
    <t>121st CSH-SEOUL</t>
  </si>
  <si>
    <t>0610 - CAMP ZAMA</t>
  </si>
  <si>
    <t>BG CRAWFORD SAMS AHC-CAMP ZAMA</t>
  </si>
  <si>
    <t>0052 - FT. SHAFTER</t>
  </si>
  <si>
    <t>TRIPLER AMC-FT SHAFTER</t>
  </si>
  <si>
    <t>PRMC</t>
  </si>
  <si>
    <t>0330 - FT. DRUM</t>
  </si>
  <si>
    <t>GUTHRIE AHC-FT. DRUM</t>
  </si>
  <si>
    <t>0123 - FT. BELVOIR</t>
  </si>
  <si>
    <t>DEWITT ACH-FT. BELVOIR</t>
  </si>
  <si>
    <t>0122 - FT. LEE</t>
  </si>
  <si>
    <t>KENNER AHC-FT. LEE</t>
  </si>
  <si>
    <t>0121 - FT. EUSTIS</t>
  </si>
  <si>
    <t>MCDONALD AHC-FT. EUSTIS</t>
  </si>
  <si>
    <t>0089 - FT. BRAGG</t>
  </si>
  <si>
    <t>WOMACK AMC-FT. BRAGG</t>
  </si>
  <si>
    <t>0086 - WEST POINT</t>
  </si>
  <si>
    <t>KELLER ACH-WEST POINT</t>
  </si>
  <si>
    <t>0069 - FT. MEADE</t>
  </si>
  <si>
    <t>KIMBROUGH AMB CAR CEN-FT MEADE</t>
  </si>
  <si>
    <t>0061 - FT. KNOX</t>
  </si>
  <si>
    <t>IRELAND ACH-FT. KNOX</t>
  </si>
  <si>
    <t>0037 - WASHINGTON DC</t>
  </si>
  <si>
    <t>WALTER REED AMC-WASHINGTON DC</t>
  </si>
  <si>
    <t>NRMC</t>
  </si>
  <si>
    <t>0609 - VILSECK</t>
  </si>
  <si>
    <t>BAVARIA MEDDAC</t>
  </si>
  <si>
    <t>0607 - LANDSTUHL</t>
  </si>
  <si>
    <t>LANDSTUHL REGIONAL MEDCEN</t>
  </si>
  <si>
    <t>0606 - HEIDELBERG</t>
  </si>
  <si>
    <t>HEIDELBERG MEDDAC</t>
  </si>
  <si>
    <t>ERMC</t>
  </si>
  <si>
    <t>ARMY</t>
  </si>
  <si>
    <t>NAVY</t>
  </si>
  <si>
    <t>NAVY MEDICINE EAST</t>
  </si>
  <si>
    <t>NH PENSACOLA</t>
  </si>
  <si>
    <t>NH JACKSONVILLE</t>
  </si>
  <si>
    <t>NHC GREAT LAKES</t>
  </si>
  <si>
    <t>NH CAMP LEJEUNE</t>
  </si>
  <si>
    <t>NHC CHERRY POINT</t>
  </si>
  <si>
    <t>NH CHERRY POINT</t>
  </si>
  <si>
    <t>NAVAL HLTH CLINIC NEW ENGLAND</t>
  </si>
  <si>
    <t>NAVAL HEALTH CARE NEW ENGLAND</t>
  </si>
  <si>
    <t>NHC CHARLESTON</t>
  </si>
  <si>
    <t>NH CHARLESTON</t>
  </si>
  <si>
    <t>NH BEAUFORT</t>
  </si>
  <si>
    <t>NHC CORPUS CHRISTI</t>
  </si>
  <si>
    <t>NH CORPUS CHRISTI</t>
  </si>
  <si>
    <t>NMC PORTSMOUTH</t>
  </si>
  <si>
    <t>0615</t>
  </si>
  <si>
    <t>NH GUANTANAMO BAY</t>
  </si>
  <si>
    <t>0617</t>
  </si>
  <si>
    <t>NH NAPLES</t>
  </si>
  <si>
    <t>0618</t>
  </si>
  <si>
    <t>NH ROTA</t>
  </si>
  <si>
    <t>0624</t>
  </si>
  <si>
    <t>NH SIGONELLA</t>
  </si>
  <si>
    <t>NATIONAL CAPITAL REGION</t>
  </si>
  <si>
    <t>NNMC BETHESDA</t>
  </si>
  <si>
    <t>NHC PATUXENT RIVER</t>
  </si>
  <si>
    <t>NHC ANNAPOLIS</t>
  </si>
  <si>
    <t>NHC QUANTICO</t>
  </si>
  <si>
    <t>NAVY MEDICINE WEST</t>
  </si>
  <si>
    <t>NH CAMP PENDLETON</t>
  </si>
  <si>
    <t>NH LEMOORE</t>
  </si>
  <si>
    <t>NMC SAN DIEGO</t>
  </si>
  <si>
    <t>NH TWENTYNINE PALMS</t>
  </si>
  <si>
    <t>NH BREMERTON</t>
  </si>
  <si>
    <t>NH OAK HARBOR</t>
  </si>
  <si>
    <t>NHC HAWAII</t>
  </si>
  <si>
    <t>NH GUAM-AGANA</t>
  </si>
  <si>
    <t>NH GUAM</t>
  </si>
  <si>
    <t>NH OKINAWA</t>
  </si>
  <si>
    <t>NH YOKOSUKA</t>
  </si>
  <si>
    <t>Army</t>
  </si>
  <si>
    <t>Navy</t>
  </si>
  <si>
    <t>Air Force</t>
  </si>
  <si>
    <t>Total</t>
  </si>
  <si>
    <t>Notes</t>
  </si>
  <si>
    <t>Total OP Collections In CY by DMIS ID</t>
  </si>
  <si>
    <t xml:space="preserve">Outpatient </t>
  </si>
  <si>
    <t xml:space="preserve">Inpatient </t>
  </si>
  <si>
    <t>Notes:</t>
  </si>
  <si>
    <t>DMISID</t>
  </si>
  <si>
    <t>Facility Name</t>
  </si>
  <si>
    <t>FY2011</t>
  </si>
  <si>
    <t>Elmendorf AFB (3rd Medical group)</t>
  </si>
  <si>
    <t>Ft. Belvoir (FT. Belvoir Community Hospital)</t>
  </si>
  <si>
    <t>Walter Reed National Military Medical Center</t>
  </si>
  <si>
    <t>Army OP Total</t>
  </si>
  <si>
    <t>Navy OP Total</t>
  </si>
  <si>
    <t>AF</t>
  </si>
  <si>
    <t>AF OP Total</t>
  </si>
  <si>
    <t>Subtotal</t>
  </si>
  <si>
    <t>FY 12 Goal</t>
  </si>
  <si>
    <t>Total Collection</t>
  </si>
  <si>
    <t>8c.  DD-2569 forms Outpatient encounters:c)  What percentage of completed and current (signed within the past 12 months) DD Form 2569s (TPC Insurance Info) is available for review?</t>
  </si>
  <si>
    <t>JTF</t>
  </si>
  <si>
    <t>FY2012</t>
  </si>
  <si>
    <t>FY 12 Collections</t>
  </si>
  <si>
    <t>FY 13 Collection Goal</t>
  </si>
  <si>
    <t>FY 12- Collections</t>
  </si>
  <si>
    <t>FY 12 Collection</t>
  </si>
  <si>
    <t>FY 13 Goal</t>
  </si>
  <si>
    <t>WALTER REED NATIONAL MILITARY MEDICAL CNTR</t>
  </si>
  <si>
    <t>FT BELVOIR COMMUNITY HOSPITAL-FBCH</t>
  </si>
  <si>
    <t>Service Average</t>
  </si>
  <si>
    <t>FY13- Goals</t>
  </si>
  <si>
    <t>Air Force Total</t>
  </si>
  <si>
    <t>Navy Total</t>
  </si>
  <si>
    <t>Army Total</t>
  </si>
  <si>
    <t>JTF CAPMED total</t>
  </si>
  <si>
    <t>JTF CapMed</t>
  </si>
  <si>
    <t>service</t>
  </si>
  <si>
    <t>Grand Total</t>
  </si>
  <si>
    <t>Data</t>
  </si>
  <si>
    <t>Sum of FY2012</t>
  </si>
  <si>
    <t>Sum of FY2011</t>
  </si>
  <si>
    <t>IP data</t>
  </si>
  <si>
    <t>Service</t>
  </si>
  <si>
    <t>OP data</t>
  </si>
  <si>
    <t>Factor (80%)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</si>
</sst>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164" formatCode="&quot;$&quot;#,##0.00"/>
    <numFmt numFmtId="165" formatCode="[$-409]mmm\-yy;@"/>
    <numFmt numFmtId="166" formatCode="0.0%"/>
    <numFmt numFmtId="167" formatCode="0.000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1">
    <xf numFmtId="0" fontId="0" fillId="0" borderId="0"/>
    <xf numFmtId="44" fontId="6" fillId="0" borderId="0" applyFont="0" applyFill="0" applyBorder="0" applyAlignment="0" applyProtection="0"/>
    <xf numFmtId="0" fontId="3" fillId="0" borderId="0"/>
    <xf numFmtId="0" fontId="4" fillId="0" borderId="0"/>
    <xf numFmtId="0" fontId="3" fillId="0" borderId="0"/>
    <xf numFmtId="0" fontId="4" fillId="0" borderId="0"/>
    <xf numFmtId="165" fontId="3" fillId="0" borderId="0"/>
    <xf numFmtId="0" fontId="7" fillId="7" borderId="57" applyNumberFormat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85">
    <xf numFmtId="0" fontId="0" fillId="0" borderId="0" xfId="0"/>
    <xf numFmtId="164" fontId="0" fillId="0" borderId="0" xfId="0" applyNumberFormat="1"/>
    <xf numFmtId="10" fontId="0" fillId="0" borderId="0" xfId="0" applyNumberFormat="1"/>
    <xf numFmtId="0" fontId="0" fillId="0" borderId="1" xfId="0" applyBorder="1"/>
    <xf numFmtId="164" fontId="0" fillId="0" borderId="2" xfId="0" applyNumberFormat="1" applyBorder="1"/>
    <xf numFmtId="0" fontId="0" fillId="0" borderId="0" xfId="0" applyBorder="1"/>
    <xf numFmtId="49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left"/>
    </xf>
    <xf numFmtId="165" fontId="1" fillId="0" borderId="6" xfId="0" applyNumberFormat="1" applyFont="1" applyBorder="1" applyAlignment="1">
      <alignment horizontal="center"/>
    </xf>
    <xf numFmtId="0" fontId="1" fillId="2" borderId="7" xfId="0" applyFont="1" applyFill="1" applyBorder="1"/>
    <xf numFmtId="0" fontId="0" fillId="0" borderId="2" xfId="0" applyBorder="1"/>
    <xf numFmtId="49" fontId="0" fillId="0" borderId="8" xfId="0" applyNumberFormat="1" applyBorder="1"/>
    <xf numFmtId="0" fontId="0" fillId="0" borderId="9" xfId="0" applyNumberFormat="1" applyBorder="1"/>
    <xf numFmtId="0" fontId="2" fillId="3" borderId="10" xfId="0" applyFont="1" applyFill="1" applyBorder="1"/>
    <xf numFmtId="49" fontId="1" fillId="0" borderId="11" xfId="0" applyNumberFormat="1" applyFont="1" applyBorder="1" applyAlignment="1">
      <alignment horizontal="center"/>
    </xf>
    <xf numFmtId="0" fontId="1" fillId="0" borderId="3" xfId="0" applyNumberFormat="1" applyFont="1" applyBorder="1"/>
    <xf numFmtId="166" fontId="0" fillId="0" borderId="2" xfId="0" applyNumberFormat="1" applyBorder="1"/>
    <xf numFmtId="49" fontId="1" fillId="0" borderId="12" xfId="0" applyNumberFormat="1" applyFont="1" applyBorder="1" applyAlignment="1">
      <alignment horizontal="center"/>
    </xf>
    <xf numFmtId="0" fontId="1" fillId="0" borderId="13" xfId="0" applyNumberFormat="1" applyFont="1" applyBorder="1"/>
    <xf numFmtId="0" fontId="10" fillId="0" borderId="0" xfId="0" applyFont="1"/>
    <xf numFmtId="164" fontId="10" fillId="0" borderId="0" xfId="0" applyNumberFormat="1" applyFont="1"/>
    <xf numFmtId="0" fontId="1" fillId="0" borderId="1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" fontId="1" fillId="0" borderId="14" xfId="0" applyNumberFormat="1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" fontId="1" fillId="0" borderId="15" xfId="0" applyNumberFormat="1" applyFont="1" applyBorder="1" applyAlignment="1">
      <alignment horizontal="left" indent="3"/>
    </xf>
    <xf numFmtId="1" fontId="1" fillId="0" borderId="16" xfId="0" applyNumberFormat="1" applyFont="1" applyBorder="1" applyAlignment="1">
      <alignment horizontal="left" indent="3"/>
    </xf>
    <xf numFmtId="0" fontId="1" fillId="0" borderId="16" xfId="0" applyFont="1" applyBorder="1" applyAlignment="1">
      <alignment horizontal="left" indent="3"/>
    </xf>
    <xf numFmtId="0" fontId="1" fillId="2" borderId="17" xfId="0" applyFont="1" applyFill="1" applyBorder="1"/>
    <xf numFmtId="0" fontId="1" fillId="0" borderId="16" xfId="0" applyFont="1" applyFill="1" applyBorder="1" applyAlignment="1">
      <alignment horizontal="left" indent="3"/>
    </xf>
    <xf numFmtId="0" fontId="1" fillId="0" borderId="18" xfId="0" applyFont="1" applyBorder="1" applyAlignment="1">
      <alignment horizontal="left" indent="3"/>
    </xf>
    <xf numFmtId="0" fontId="1" fillId="0" borderId="13" xfId="0" applyFont="1" applyBorder="1" applyAlignment="1">
      <alignment horizontal="left"/>
    </xf>
    <xf numFmtId="1" fontId="1" fillId="0" borderId="19" xfId="0" applyNumberFormat="1" applyFont="1" applyBorder="1" applyAlignment="1">
      <alignment horizontal="left" indent="3"/>
    </xf>
    <xf numFmtId="164" fontId="0" fillId="0" borderId="20" xfId="0" applyNumberFormat="1" applyBorder="1"/>
    <xf numFmtId="164" fontId="0" fillId="0" borderId="21" xfId="0" applyNumberFormat="1" applyBorder="1"/>
    <xf numFmtId="0" fontId="0" fillId="8" borderId="0" xfId="0" applyFill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left" indent="3"/>
    </xf>
    <xf numFmtId="0" fontId="1" fillId="0" borderId="0" xfId="0" applyFont="1" applyFill="1" applyBorder="1" applyAlignment="1">
      <alignment horizontal="left"/>
    </xf>
    <xf numFmtId="0" fontId="11" fillId="0" borderId="22" xfId="0" applyFont="1" applyFill="1" applyBorder="1" applyAlignment="1">
      <alignment vertical="center"/>
    </xf>
    <xf numFmtId="0" fontId="11" fillId="0" borderId="23" xfId="0" applyFont="1" applyFill="1" applyBorder="1" applyAlignment="1">
      <alignment vertical="center"/>
    </xf>
    <xf numFmtId="0" fontId="0" fillId="0" borderId="0" xfId="0" applyFont="1"/>
    <xf numFmtId="0" fontId="0" fillId="0" borderId="2" xfId="0" applyFont="1" applyBorder="1"/>
    <xf numFmtId="164" fontId="0" fillId="0" borderId="2" xfId="0" applyNumberFormat="1" applyFont="1" applyBorder="1"/>
    <xf numFmtId="49" fontId="12" fillId="0" borderId="3" xfId="0" applyNumberFormat="1" applyFont="1" applyBorder="1" applyAlignment="1">
      <alignment horizontal="center"/>
    </xf>
    <xf numFmtId="0" fontId="12" fillId="0" borderId="4" xfId="0" applyNumberFormat="1" applyFont="1" applyBorder="1" applyAlignment="1">
      <alignment horizontal="center"/>
    </xf>
    <xf numFmtId="1" fontId="12" fillId="0" borderId="5" xfId="0" applyNumberFormat="1" applyFont="1" applyBorder="1" applyAlignment="1">
      <alignment horizontal="left"/>
    </xf>
    <xf numFmtId="0" fontId="12" fillId="4" borderId="24" xfId="0" applyFont="1" applyFill="1" applyBorder="1"/>
    <xf numFmtId="0" fontId="12" fillId="5" borderId="17" xfId="0" applyFont="1" applyFill="1" applyBorder="1" applyAlignment="1"/>
    <xf numFmtId="0" fontId="12" fillId="0" borderId="3" xfId="0" applyFont="1" applyBorder="1" applyAlignment="1">
      <alignment horizontal="center"/>
    </xf>
    <xf numFmtId="1" fontId="12" fillId="0" borderId="11" xfId="0" applyNumberFormat="1" applyFont="1" applyFill="1" applyBorder="1" applyAlignment="1"/>
    <xf numFmtId="0" fontId="12" fillId="0" borderId="25" xfId="2" applyFont="1" applyFill="1" applyBorder="1" applyAlignment="1"/>
    <xf numFmtId="0" fontId="12" fillId="0" borderId="11" xfId="0" applyFont="1" applyFill="1" applyBorder="1" applyAlignment="1"/>
    <xf numFmtId="0" fontId="12" fillId="0" borderId="16" xfId="2" applyFont="1" applyFill="1" applyBorder="1" applyAlignment="1"/>
    <xf numFmtId="0" fontId="12" fillId="0" borderId="26" xfId="2" applyFont="1" applyFill="1" applyBorder="1" applyAlignment="1"/>
    <xf numFmtId="0" fontId="12" fillId="0" borderId="27" xfId="2" applyFont="1" applyFill="1" applyBorder="1" applyAlignment="1"/>
    <xf numFmtId="1" fontId="12" fillId="0" borderId="15" xfId="2" applyNumberFormat="1" applyFont="1" applyFill="1" applyBorder="1" applyAlignment="1"/>
    <xf numFmtId="1" fontId="12" fillId="0" borderId="16" xfId="2" applyNumberFormat="1" applyFont="1" applyFill="1" applyBorder="1" applyAlignment="1"/>
    <xf numFmtId="1" fontId="12" fillId="0" borderId="27" xfId="2" applyNumberFormat="1" applyFont="1" applyFill="1" applyBorder="1" applyAlignment="1"/>
    <xf numFmtId="1" fontId="12" fillId="0" borderId="11" xfId="2" applyNumberFormat="1" applyFont="1" applyFill="1" applyBorder="1" applyAlignment="1"/>
    <xf numFmtId="0" fontId="12" fillId="0" borderId="13" xfId="0" applyFont="1" applyBorder="1" applyAlignment="1">
      <alignment horizontal="center"/>
    </xf>
    <xf numFmtId="1" fontId="12" fillId="0" borderId="12" xfId="0" applyNumberFormat="1" applyFont="1" applyFill="1" applyBorder="1" applyAlignment="1"/>
    <xf numFmtId="1" fontId="12" fillId="0" borderId="19" xfId="2" applyNumberFormat="1" applyFont="1" applyFill="1" applyBorder="1" applyAlignment="1"/>
    <xf numFmtId="165" fontId="1" fillId="0" borderId="28" xfId="0" applyNumberFormat="1" applyFont="1" applyFill="1" applyBorder="1" applyAlignment="1">
      <alignment horizontal="center"/>
    </xf>
    <xf numFmtId="165" fontId="1" fillId="0" borderId="29" xfId="0" applyNumberFormat="1" applyFont="1" applyFill="1" applyBorder="1" applyAlignment="1">
      <alignment horizontal="center"/>
    </xf>
    <xf numFmtId="10" fontId="1" fillId="2" borderId="17" xfId="8" applyNumberFormat="1" applyFont="1" applyFill="1" applyBorder="1"/>
    <xf numFmtId="166" fontId="12" fillId="4" borderId="24" xfId="8" applyNumberFormat="1" applyFont="1" applyFill="1" applyBorder="1"/>
    <xf numFmtId="166" fontId="6" fillId="0" borderId="2" xfId="8" applyNumberFormat="1" applyFont="1" applyBorder="1"/>
    <xf numFmtId="166" fontId="12" fillId="5" borderId="17" xfId="8" applyNumberFormat="1" applyFont="1" applyFill="1" applyBorder="1" applyAlignment="1"/>
    <xf numFmtId="166" fontId="1" fillId="2" borderId="17" xfId="8" applyNumberFormat="1" applyFont="1" applyFill="1" applyBorder="1"/>
    <xf numFmtId="0" fontId="2" fillId="6" borderId="30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6" borderId="14" xfId="0" applyFont="1" applyFill="1" applyBorder="1" applyAlignment="1">
      <alignment horizontal="left"/>
    </xf>
    <xf numFmtId="0" fontId="2" fillId="6" borderId="28" xfId="0" applyFont="1" applyFill="1" applyBorder="1" applyAlignment="1">
      <alignment horizontal="left"/>
    </xf>
    <xf numFmtId="0" fontId="2" fillId="6" borderId="10" xfId="0" applyFont="1" applyFill="1" applyBorder="1" applyAlignment="1">
      <alignment horizontal="left"/>
    </xf>
    <xf numFmtId="165" fontId="1" fillId="0" borderId="31" xfId="0" applyNumberFormat="1" applyFont="1" applyBorder="1" applyAlignment="1">
      <alignment horizontal="center"/>
    </xf>
    <xf numFmtId="166" fontId="1" fillId="2" borderId="7" xfId="8" applyNumberFormat="1" applyFont="1" applyFill="1" applyBorder="1"/>
    <xf numFmtId="166" fontId="2" fillId="3" borderId="10" xfId="8" applyNumberFormat="1" applyFont="1" applyFill="1" applyBorder="1"/>
    <xf numFmtId="166" fontId="2" fillId="3" borderId="10" xfId="8" applyNumberFormat="1" applyFont="1" applyFill="1" applyBorder="1" applyAlignment="1">
      <alignment horizontal="left"/>
    </xf>
    <xf numFmtId="165" fontId="13" fillId="0" borderId="8" xfId="0" applyNumberFormat="1" applyFont="1" applyBorder="1" applyAlignment="1">
      <alignment horizontal="center"/>
    </xf>
    <xf numFmtId="165" fontId="13" fillId="0" borderId="32" xfId="0" applyNumberFormat="1" applyFont="1" applyBorder="1" applyAlignment="1">
      <alignment horizontal="center"/>
    </xf>
    <xf numFmtId="0" fontId="10" fillId="0" borderId="33" xfId="0" applyFont="1" applyBorder="1"/>
    <xf numFmtId="0" fontId="10" fillId="0" borderId="34" xfId="0" applyFont="1" applyBorder="1"/>
    <xf numFmtId="0" fontId="0" fillId="9" borderId="0" xfId="0" applyFill="1"/>
    <xf numFmtId="164" fontId="0" fillId="9" borderId="0" xfId="0" applyNumberFormat="1" applyFill="1"/>
    <xf numFmtId="0" fontId="0" fillId="10" borderId="0" xfId="0" applyFill="1"/>
    <xf numFmtId="164" fontId="0" fillId="10" borderId="0" xfId="0" applyNumberFormat="1" applyFill="1"/>
    <xf numFmtId="0" fontId="0" fillId="11" borderId="0" xfId="0" applyFill="1"/>
    <xf numFmtId="164" fontId="0" fillId="11" borderId="0" xfId="0" applyNumberFormat="1" applyFill="1"/>
    <xf numFmtId="0" fontId="0" fillId="12" borderId="0" xfId="0" applyFill="1"/>
    <xf numFmtId="164" fontId="0" fillId="12" borderId="0" xfId="0" applyNumberFormat="1" applyFill="1"/>
    <xf numFmtId="0" fontId="0" fillId="0" borderId="1" xfId="0" applyFill="1" applyBorder="1"/>
    <xf numFmtId="0" fontId="0" fillId="0" borderId="0" xfId="0" applyFill="1"/>
    <xf numFmtId="0" fontId="0" fillId="0" borderId="2" xfId="0" applyFill="1" applyBorder="1"/>
    <xf numFmtId="164" fontId="0" fillId="0" borderId="2" xfId="0" applyNumberFormat="1" applyFill="1" applyBorder="1"/>
    <xf numFmtId="164" fontId="0" fillId="0" borderId="0" xfId="0" applyNumberFormat="1" applyFill="1"/>
    <xf numFmtId="49" fontId="0" fillId="0" borderId="0" xfId="0" applyNumberFormat="1"/>
    <xf numFmtId="3" fontId="0" fillId="0" borderId="0" xfId="0" applyNumberFormat="1"/>
    <xf numFmtId="164" fontId="8" fillId="0" borderId="2" xfId="0" applyNumberFormat="1" applyFont="1" applyFill="1" applyBorder="1"/>
    <xf numFmtId="0" fontId="14" fillId="0" borderId="24" xfId="0" applyFont="1" applyFill="1" applyBorder="1" applyAlignment="1">
      <alignment vertical="center"/>
    </xf>
    <xf numFmtId="164" fontId="0" fillId="0" borderId="2" xfId="0" applyNumberFormat="1" applyFont="1" applyFill="1" applyBorder="1"/>
    <xf numFmtId="0" fontId="0" fillId="13" borderId="0" xfId="0" applyFill="1"/>
    <xf numFmtId="164" fontId="0" fillId="13" borderId="2" xfId="0" applyNumberFormat="1" applyFill="1" applyBorder="1"/>
    <xf numFmtId="0" fontId="12" fillId="13" borderId="3" xfId="0" applyFont="1" applyFill="1" applyBorder="1" applyAlignment="1">
      <alignment horizontal="center"/>
    </xf>
    <xf numFmtId="1" fontId="12" fillId="13" borderId="11" xfId="0" applyNumberFormat="1" applyFont="1" applyFill="1" applyBorder="1" applyAlignment="1"/>
    <xf numFmtId="0" fontId="12" fillId="13" borderId="27" xfId="2" applyFont="1" applyFill="1" applyBorder="1" applyAlignment="1"/>
    <xf numFmtId="166" fontId="6" fillId="13" borderId="2" xfId="8" applyNumberFormat="1" applyFont="1" applyFill="1" applyBorder="1"/>
    <xf numFmtId="164" fontId="0" fillId="13" borderId="2" xfId="0" applyNumberFormat="1" applyFont="1" applyFill="1" applyBorder="1"/>
    <xf numFmtId="0" fontId="1" fillId="13" borderId="3" xfId="0" applyFont="1" applyFill="1" applyBorder="1" applyAlignment="1">
      <alignment horizontal="center"/>
    </xf>
    <xf numFmtId="0" fontId="1" fillId="13" borderId="3" xfId="0" applyFont="1" applyFill="1" applyBorder="1" applyAlignment="1">
      <alignment horizontal="left"/>
    </xf>
    <xf numFmtId="0" fontId="1" fillId="13" borderId="15" xfId="0" applyFont="1" applyFill="1" applyBorder="1" applyAlignment="1">
      <alignment horizontal="left" indent="3"/>
    </xf>
    <xf numFmtId="166" fontId="0" fillId="13" borderId="2" xfId="0" applyNumberFormat="1" applyFill="1" applyBorder="1"/>
    <xf numFmtId="10" fontId="0" fillId="0" borderId="0" xfId="0" applyNumberFormat="1" applyFill="1"/>
    <xf numFmtId="49" fontId="0" fillId="0" borderId="0" xfId="0" applyNumberFormat="1" applyFill="1"/>
    <xf numFmtId="3" fontId="0" fillId="0" borderId="0" xfId="0" applyNumberFormat="1" applyFill="1"/>
    <xf numFmtId="0" fontId="12" fillId="13" borderId="15" xfId="2" applyFont="1" applyFill="1" applyBorder="1" applyAlignment="1"/>
    <xf numFmtId="0" fontId="9" fillId="11" borderId="0" xfId="0" applyFont="1" applyFill="1"/>
    <xf numFmtId="164" fontId="9" fillId="11" borderId="0" xfId="0" applyNumberFormat="1" applyFont="1" applyFill="1"/>
    <xf numFmtId="0" fontId="9" fillId="0" borderId="0" xfId="0" applyFont="1"/>
    <xf numFmtId="0" fontId="9" fillId="12" borderId="0" xfId="0" applyFont="1" applyFill="1"/>
    <xf numFmtId="164" fontId="9" fillId="12" borderId="0" xfId="0" applyNumberFormat="1" applyFont="1" applyFill="1"/>
    <xf numFmtId="9" fontId="1" fillId="0" borderId="5" xfId="0" applyNumberFormat="1" applyFont="1" applyBorder="1" applyAlignment="1">
      <alignment horizontal="center"/>
    </xf>
    <xf numFmtId="9" fontId="1" fillId="0" borderId="35" xfId="0" applyNumberFormat="1" applyFont="1" applyBorder="1" applyAlignment="1">
      <alignment horizontal="center"/>
    </xf>
    <xf numFmtId="9" fontId="1" fillId="0" borderId="36" xfId="0" applyNumberFormat="1" applyFont="1" applyBorder="1" applyAlignment="1">
      <alignment horizontal="center"/>
    </xf>
    <xf numFmtId="9" fontId="1" fillId="0" borderId="37" xfId="0" applyNumberFormat="1" applyFont="1" applyBorder="1" applyAlignment="1">
      <alignment horizontal="center"/>
    </xf>
    <xf numFmtId="9" fontId="1" fillId="0" borderId="38" xfId="0" applyNumberFormat="1" applyFont="1" applyBorder="1" applyAlignment="1">
      <alignment horizontal="center"/>
    </xf>
    <xf numFmtId="9" fontId="1" fillId="0" borderId="39" xfId="0" applyNumberFormat="1" applyFont="1" applyBorder="1" applyAlignment="1">
      <alignment horizontal="center"/>
    </xf>
    <xf numFmtId="9" fontId="1" fillId="0" borderId="40" xfId="0" applyNumberFormat="1" applyFont="1" applyBorder="1" applyAlignment="1">
      <alignment horizontal="center"/>
    </xf>
    <xf numFmtId="9" fontId="1" fillId="0" borderId="41" xfId="0" applyNumberFormat="1" applyFont="1" applyBorder="1" applyAlignment="1">
      <alignment horizontal="center"/>
    </xf>
    <xf numFmtId="9" fontId="1" fillId="0" borderId="2" xfId="0" applyNumberFormat="1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9" fontId="1" fillId="0" borderId="0" xfId="0" applyNumberFormat="1" applyFont="1" applyAlignment="1">
      <alignment horizontal="center"/>
    </xf>
    <xf numFmtId="9" fontId="1" fillId="13" borderId="36" xfId="0" applyNumberFormat="1" applyFont="1" applyFill="1" applyBorder="1" applyAlignment="1">
      <alignment horizontal="center"/>
    </xf>
    <xf numFmtId="9" fontId="1" fillId="13" borderId="37" xfId="0" applyNumberFormat="1" applyFont="1" applyFill="1" applyBorder="1" applyAlignment="1">
      <alignment horizontal="center"/>
    </xf>
    <xf numFmtId="9" fontId="1" fillId="13" borderId="1" xfId="0" applyNumberFormat="1" applyFont="1" applyFill="1" applyBorder="1" applyAlignment="1">
      <alignment horizontal="center"/>
    </xf>
    <xf numFmtId="9" fontId="1" fillId="0" borderId="37" xfId="5" applyNumberFormat="1" applyFont="1" applyBorder="1" applyAlignment="1">
      <alignment horizontal="center"/>
    </xf>
    <xf numFmtId="9" fontId="1" fillId="0" borderId="36" xfId="5" applyNumberFormat="1" applyFont="1" applyBorder="1" applyAlignment="1">
      <alignment horizontal="center"/>
    </xf>
    <xf numFmtId="9" fontId="1" fillId="0" borderId="4" xfId="5" applyNumberFormat="1" applyFont="1" applyBorder="1" applyAlignment="1">
      <alignment horizontal="center"/>
    </xf>
    <xf numFmtId="9" fontId="1" fillId="0" borderId="5" xfId="5" applyNumberFormat="1" applyFont="1" applyBorder="1" applyAlignment="1">
      <alignment horizontal="center"/>
    </xf>
    <xf numFmtId="9" fontId="1" fillId="0" borderId="35" xfId="5" applyNumberFormat="1" applyFont="1" applyBorder="1" applyAlignment="1">
      <alignment horizontal="center"/>
    </xf>
    <xf numFmtId="0" fontId="15" fillId="0" borderId="0" xfId="0" applyFont="1"/>
    <xf numFmtId="165" fontId="13" fillId="0" borderId="42" xfId="0" applyNumberFormat="1" applyFont="1" applyBorder="1"/>
    <xf numFmtId="165" fontId="13" fillId="0" borderId="0" xfId="0" applyNumberFormat="1" applyFont="1" applyBorder="1"/>
    <xf numFmtId="166" fontId="15" fillId="0" borderId="2" xfId="0" applyNumberFormat="1" applyFont="1" applyFill="1" applyBorder="1"/>
    <xf numFmtId="9" fontId="1" fillId="0" borderId="39" xfId="5" applyNumberFormat="1" applyFont="1" applyBorder="1" applyAlignment="1">
      <alignment horizontal="center"/>
    </xf>
    <xf numFmtId="9" fontId="1" fillId="0" borderId="38" xfId="5" applyNumberFormat="1" applyFont="1" applyBorder="1" applyAlignment="1">
      <alignment horizontal="center"/>
    </xf>
    <xf numFmtId="9" fontId="1" fillId="0" borderId="37" xfId="2" applyNumberFormat="1" applyFont="1" applyBorder="1" applyAlignment="1">
      <alignment horizontal="center"/>
    </xf>
    <xf numFmtId="9" fontId="1" fillId="0" borderId="36" xfId="2" applyNumberFormat="1" applyFont="1" applyBorder="1" applyAlignment="1">
      <alignment horizontal="center"/>
    </xf>
    <xf numFmtId="9" fontId="1" fillId="0" borderId="43" xfId="0" applyNumberFormat="1" applyFont="1" applyBorder="1" applyAlignment="1">
      <alignment horizontal="center"/>
    </xf>
    <xf numFmtId="9" fontId="1" fillId="0" borderId="44" xfId="0" applyNumberFormat="1" applyFont="1" applyBorder="1" applyAlignment="1">
      <alignment horizontal="center"/>
    </xf>
    <xf numFmtId="9" fontId="1" fillId="0" borderId="45" xfId="0" applyNumberFormat="1" applyFont="1" applyBorder="1" applyAlignment="1">
      <alignment horizontal="center"/>
    </xf>
    <xf numFmtId="9" fontId="1" fillId="0" borderId="0" xfId="0" applyNumberFormat="1" applyFont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left"/>
    </xf>
    <xf numFmtId="1" fontId="1" fillId="8" borderId="16" xfId="0" applyNumberFormat="1" applyFont="1" applyFill="1" applyBorder="1" applyAlignment="1">
      <alignment horizontal="left" indent="3"/>
    </xf>
    <xf numFmtId="9" fontId="1" fillId="8" borderId="36" xfId="5" applyNumberFormat="1" applyFont="1" applyFill="1" applyBorder="1" applyAlignment="1">
      <alignment horizontal="center"/>
    </xf>
    <xf numFmtId="9" fontId="1" fillId="8" borderId="37" xfId="5" applyNumberFormat="1" applyFont="1" applyFill="1" applyBorder="1" applyAlignment="1">
      <alignment horizontal="center"/>
    </xf>
    <xf numFmtId="9" fontId="1" fillId="8" borderId="1" xfId="0" applyNumberFormat="1" applyFont="1" applyFill="1" applyBorder="1" applyAlignment="1">
      <alignment horizontal="center"/>
    </xf>
    <xf numFmtId="9" fontId="1" fillId="8" borderId="36" xfId="0" applyNumberFormat="1" applyFont="1" applyFill="1" applyBorder="1" applyAlignment="1">
      <alignment horizontal="center"/>
    </xf>
    <xf numFmtId="166" fontId="15" fillId="8" borderId="2" xfId="0" applyNumberFormat="1" applyFont="1" applyFill="1" applyBorder="1"/>
    <xf numFmtId="164" fontId="15" fillId="8" borderId="2" xfId="0" applyNumberFormat="1" applyFont="1" applyFill="1" applyBorder="1"/>
    <xf numFmtId="0" fontId="15" fillId="8" borderId="0" xfId="0" applyFont="1" applyFill="1"/>
    <xf numFmtId="9" fontId="1" fillId="8" borderId="38" xfId="5" applyNumberFormat="1" applyFont="1" applyFill="1" applyBorder="1" applyAlignment="1">
      <alignment horizontal="center"/>
    </xf>
    <xf numFmtId="9" fontId="1" fillId="8" borderId="39" xfId="5" applyNumberFormat="1" applyFont="1" applyFill="1" applyBorder="1" applyAlignment="1">
      <alignment horizontal="center"/>
    </xf>
    <xf numFmtId="166" fontId="0" fillId="8" borderId="2" xfId="0" applyNumberFormat="1" applyFill="1" applyBorder="1"/>
    <xf numFmtId="0" fontId="0" fillId="8" borderId="1" xfId="0" applyFill="1" applyBorder="1"/>
    <xf numFmtId="164" fontId="0" fillId="8" borderId="2" xfId="0" applyNumberFormat="1" applyFill="1" applyBorder="1"/>
    <xf numFmtId="1" fontId="1" fillId="8" borderId="18" xfId="0" applyNumberFormat="1" applyFont="1" applyFill="1" applyBorder="1" applyAlignment="1">
      <alignment horizontal="left" indent="3"/>
    </xf>
    <xf numFmtId="0" fontId="1" fillId="8" borderId="16" xfId="0" applyFont="1" applyFill="1" applyBorder="1" applyAlignment="1">
      <alignment horizontal="left" indent="3"/>
    </xf>
    <xf numFmtId="9" fontId="1" fillId="8" borderId="41" xfId="5" applyNumberFormat="1" applyFont="1" applyFill="1" applyBorder="1" applyAlignment="1">
      <alignment horizontal="center"/>
    </xf>
    <xf numFmtId="164" fontId="4" fillId="0" borderId="0" xfId="5" applyNumberFormat="1"/>
    <xf numFmtId="9" fontId="5" fillId="0" borderId="4" xfId="5" applyNumberFormat="1" applyFont="1" applyBorder="1" applyAlignment="1">
      <alignment horizontal="center"/>
    </xf>
    <xf numFmtId="9" fontId="5" fillId="0" borderId="40" xfId="5" applyNumberFormat="1" applyFont="1" applyBorder="1" applyAlignment="1">
      <alignment horizontal="center"/>
    </xf>
    <xf numFmtId="9" fontId="5" fillId="0" borderId="36" xfId="5" applyNumberFormat="1" applyFont="1" applyBorder="1" applyAlignment="1">
      <alignment horizontal="center"/>
    </xf>
    <xf numFmtId="9" fontId="5" fillId="0" borderId="46" xfId="5" applyNumberFormat="1" applyFont="1" applyBorder="1" applyAlignment="1">
      <alignment horizontal="center"/>
    </xf>
    <xf numFmtId="9" fontId="5" fillId="0" borderId="38" xfId="5" applyNumberFormat="1" applyFont="1" applyBorder="1" applyAlignment="1">
      <alignment horizontal="center"/>
    </xf>
    <xf numFmtId="9" fontId="5" fillId="0" borderId="44" xfId="5" applyNumberFormat="1" applyFont="1" applyBorder="1" applyAlignment="1">
      <alignment horizontal="center"/>
    </xf>
    <xf numFmtId="9" fontId="5" fillId="0" borderId="5" xfId="5" applyNumberFormat="1" applyFont="1" applyBorder="1" applyAlignment="1">
      <alignment horizontal="center"/>
    </xf>
    <xf numFmtId="9" fontId="5" fillId="0" borderId="35" xfId="5" applyNumberFormat="1" applyFont="1" applyBorder="1" applyAlignment="1">
      <alignment horizontal="center"/>
    </xf>
    <xf numFmtId="9" fontId="5" fillId="0" borderId="47" xfId="5" applyNumberFormat="1" applyFont="1" applyBorder="1" applyAlignment="1">
      <alignment horizontal="center"/>
    </xf>
    <xf numFmtId="9" fontId="5" fillId="0" borderId="37" xfId="5" applyNumberFormat="1" applyFont="1" applyBorder="1" applyAlignment="1">
      <alignment horizontal="center"/>
    </xf>
    <xf numFmtId="9" fontId="5" fillId="0" borderId="41" xfId="5" applyNumberFormat="1" applyFont="1" applyBorder="1" applyAlignment="1">
      <alignment horizontal="center"/>
    </xf>
    <xf numFmtId="9" fontId="5" fillId="0" borderId="39" xfId="5" applyNumberFormat="1" applyFont="1" applyBorder="1" applyAlignment="1">
      <alignment horizontal="center"/>
    </xf>
    <xf numFmtId="9" fontId="5" fillId="0" borderId="0" xfId="5" applyNumberFormat="1" applyFont="1" applyBorder="1" applyAlignment="1">
      <alignment horizontal="center"/>
    </xf>
    <xf numFmtId="9" fontId="5" fillId="0" borderId="2" xfId="5" applyNumberFormat="1" applyFont="1" applyBorder="1" applyAlignment="1">
      <alignment horizontal="center"/>
    </xf>
    <xf numFmtId="9" fontId="1" fillId="0" borderId="2" xfId="5" applyNumberFormat="1" applyFont="1" applyBorder="1" applyAlignment="1">
      <alignment horizontal="center"/>
    </xf>
    <xf numFmtId="9" fontId="1" fillId="0" borderId="40" xfId="5" applyNumberFormat="1" applyFont="1" applyBorder="1" applyAlignment="1">
      <alignment horizontal="center"/>
    </xf>
    <xf numFmtId="9" fontId="1" fillId="0" borderId="1" xfId="5" applyNumberFormat="1" applyFont="1" applyBorder="1" applyAlignment="1">
      <alignment horizontal="center"/>
    </xf>
    <xf numFmtId="9" fontId="1" fillId="0" borderId="0" xfId="5" applyNumberFormat="1" applyFont="1" applyBorder="1" applyAlignment="1">
      <alignment horizontal="center"/>
    </xf>
    <xf numFmtId="9" fontId="1" fillId="0" borderId="48" xfId="5" applyNumberFormat="1" applyFont="1" applyBorder="1" applyAlignment="1">
      <alignment horizontal="center"/>
    </xf>
    <xf numFmtId="9" fontId="1" fillId="0" borderId="49" xfId="5" applyNumberFormat="1" applyFont="1" applyBorder="1" applyAlignment="1">
      <alignment horizontal="center"/>
    </xf>
    <xf numFmtId="9" fontId="1" fillId="0" borderId="44" xfId="5" applyNumberFormat="1" applyFont="1" applyBorder="1" applyAlignment="1">
      <alignment horizontal="center"/>
    </xf>
    <xf numFmtId="9" fontId="1" fillId="0" borderId="43" xfId="5" applyNumberFormat="1" applyFont="1" applyBorder="1" applyAlignment="1">
      <alignment horizontal="center"/>
    </xf>
    <xf numFmtId="10" fontId="4" fillId="0" borderId="0" xfId="3" applyNumberFormat="1"/>
    <xf numFmtId="10" fontId="4" fillId="0" borderId="0" xfId="3" applyNumberFormat="1" applyFill="1"/>
    <xf numFmtId="0" fontId="15" fillId="14" borderId="0" xfId="0" applyFont="1" applyFill="1"/>
    <xf numFmtId="164" fontId="15" fillId="14" borderId="2" xfId="0" applyNumberFormat="1" applyFont="1" applyFill="1" applyBorder="1"/>
    <xf numFmtId="0" fontId="0" fillId="14" borderId="0" xfId="0" applyFill="1"/>
    <xf numFmtId="164" fontId="0" fillId="14" borderId="2" xfId="0" applyNumberFormat="1" applyFill="1" applyBorder="1"/>
    <xf numFmtId="10" fontId="0" fillId="0" borderId="2" xfId="0" applyNumberFormat="1" applyFill="1" applyBorder="1"/>
    <xf numFmtId="10" fontId="4" fillId="0" borderId="2" xfId="3" applyNumberFormat="1" applyBorder="1"/>
    <xf numFmtId="0" fontId="0" fillId="13" borderId="2" xfId="0" applyFill="1" applyBorder="1"/>
    <xf numFmtId="10" fontId="0" fillId="13" borderId="2" xfId="0" applyNumberFormat="1" applyFill="1" applyBorder="1"/>
    <xf numFmtId="10" fontId="0" fillId="0" borderId="2" xfId="0" applyNumberFormat="1" applyBorder="1"/>
    <xf numFmtId="10" fontId="4" fillId="0" borderId="20" xfId="3" applyNumberFormat="1" applyBorder="1"/>
    <xf numFmtId="10" fontId="0" fillId="0" borderId="21" xfId="0" applyNumberFormat="1" applyBorder="1"/>
    <xf numFmtId="10" fontId="0" fillId="8" borderId="0" xfId="0" applyNumberFormat="1" applyFill="1"/>
    <xf numFmtId="10" fontId="4" fillId="8" borderId="0" xfId="3" applyNumberFormat="1" applyFill="1"/>
    <xf numFmtId="9" fontId="1" fillId="0" borderId="48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left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3" fillId="0" borderId="2" xfId="0" applyFont="1" applyBorder="1"/>
    <xf numFmtId="0" fontId="1" fillId="0" borderId="2" xfId="0" applyFont="1" applyBorder="1" applyAlignment="1">
      <alignment wrapText="1"/>
    </xf>
    <xf numFmtId="49" fontId="1" fillId="0" borderId="2" xfId="0" applyNumberFormat="1" applyFont="1" applyBorder="1" applyAlignment="1">
      <alignment horizontal="center"/>
    </xf>
    <xf numFmtId="0" fontId="1" fillId="0" borderId="2" xfId="0" applyNumberFormat="1" applyFont="1" applyBorder="1"/>
    <xf numFmtId="0" fontId="2" fillId="6" borderId="2" xfId="0" applyFont="1" applyFill="1" applyBorder="1" applyAlignment="1">
      <alignment horizontal="left" wrapText="1"/>
    </xf>
    <xf numFmtId="164" fontId="8" fillId="0" borderId="2" xfId="0" applyNumberFormat="1" applyFont="1" applyBorder="1"/>
    <xf numFmtId="0" fontId="4" fillId="8" borderId="0" xfId="3" applyFill="1"/>
    <xf numFmtId="10" fontId="4" fillId="8" borderId="0" xfId="3" applyNumberFormat="1" applyFill="1"/>
    <xf numFmtId="0" fontId="4" fillId="0" borderId="0" xfId="3"/>
    <xf numFmtId="167" fontId="4" fillId="0" borderId="0" xfId="8" applyNumberFormat="1" applyFont="1"/>
    <xf numFmtId="2" fontId="4" fillId="0" borderId="0" xfId="3" applyNumberFormat="1" applyFill="1"/>
    <xf numFmtId="164" fontId="0" fillId="0" borderId="0" xfId="0" applyNumberFormat="1" applyFill="1" applyBorder="1"/>
    <xf numFmtId="10" fontId="0" fillId="0" borderId="24" xfId="0" applyNumberFormat="1" applyFill="1" applyBorder="1"/>
    <xf numFmtId="164" fontId="4" fillId="0" borderId="0" xfId="3" applyNumberFormat="1" applyBorder="1"/>
    <xf numFmtId="10" fontId="0" fillId="0" borderId="23" xfId="0" applyNumberFormat="1" applyFill="1" applyBorder="1"/>
    <xf numFmtId="164" fontId="0" fillId="0" borderId="0" xfId="0" applyNumberFormat="1" applyBorder="1"/>
    <xf numFmtId="164" fontId="9" fillId="0" borderId="0" xfId="0" applyNumberFormat="1" applyFont="1"/>
    <xf numFmtId="164" fontId="8" fillId="0" borderId="0" xfId="0" applyNumberFormat="1" applyFont="1" applyFill="1" applyBorder="1"/>
    <xf numFmtId="164" fontId="4" fillId="8" borderId="0" xfId="5" applyNumberFormat="1" applyFill="1"/>
    <xf numFmtId="0" fontId="0" fillId="15" borderId="2" xfId="0" applyFill="1" applyBorder="1"/>
    <xf numFmtId="0" fontId="0" fillId="0" borderId="0" xfId="0"/>
    <xf numFmtId="164" fontId="0" fillId="0" borderId="0" xfId="0" applyNumberFormat="1"/>
    <xf numFmtId="0" fontId="0" fillId="0" borderId="2" xfId="0" applyBorder="1"/>
    <xf numFmtId="0" fontId="0" fillId="8" borderId="0" xfId="0" applyFill="1"/>
    <xf numFmtId="164" fontId="0" fillId="8" borderId="0" xfId="0" applyNumberFormat="1" applyFill="1"/>
    <xf numFmtId="0" fontId="0" fillId="0" borderId="0" xfId="0" applyFill="1" applyBorder="1"/>
    <xf numFmtId="0" fontId="0" fillId="0" borderId="2" xfId="0" applyFill="1" applyBorder="1"/>
    <xf numFmtId="164" fontId="0" fillId="0" borderId="2" xfId="0" applyNumberFormat="1" applyFill="1" applyBorder="1"/>
    <xf numFmtId="164" fontId="4" fillId="16" borderId="0" xfId="3" applyNumberFormat="1" applyFill="1"/>
    <xf numFmtId="164" fontId="0" fillId="15" borderId="2" xfId="0" applyNumberFormat="1" applyFill="1" applyBorder="1"/>
    <xf numFmtId="164" fontId="8" fillId="15" borderId="2" xfId="0" applyNumberFormat="1" applyFont="1" applyFill="1" applyBorder="1"/>
    <xf numFmtId="164" fontId="4" fillId="0" borderId="0" xfId="3" applyNumberFormat="1" applyFill="1" applyBorder="1"/>
    <xf numFmtId="164" fontId="1" fillId="0" borderId="0" xfId="2" applyNumberFormat="1" applyFont="1" applyFill="1" applyBorder="1"/>
    <xf numFmtId="0" fontId="0" fillId="0" borderId="50" xfId="0" applyBorder="1"/>
    <xf numFmtId="0" fontId="0" fillId="0" borderId="51" xfId="0" applyBorder="1"/>
    <xf numFmtId="0" fontId="0" fillId="0" borderId="50" xfId="0" pivotButton="1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164" fontId="0" fillId="0" borderId="50" xfId="0" applyNumberFormat="1" applyBorder="1"/>
    <xf numFmtId="164" fontId="0" fillId="0" borderId="52" xfId="0" applyNumberFormat="1" applyBorder="1"/>
    <xf numFmtId="164" fontId="0" fillId="0" borderId="53" xfId="0" applyNumberFormat="1" applyBorder="1"/>
    <xf numFmtId="164" fontId="0" fillId="0" borderId="54" xfId="0" applyNumberFormat="1" applyBorder="1"/>
    <xf numFmtId="164" fontId="0" fillId="0" borderId="55" xfId="0" applyNumberFormat="1" applyBorder="1"/>
    <xf numFmtId="164" fontId="0" fillId="0" borderId="56" xfId="0" applyNumberFormat="1" applyBorder="1"/>
    <xf numFmtId="44" fontId="6" fillId="0" borderId="2" xfId="1" applyFont="1" applyBorder="1"/>
    <xf numFmtId="0" fontId="0" fillId="17" borderId="2" xfId="0" applyFill="1" applyBorder="1"/>
    <xf numFmtId="164" fontId="0" fillId="18" borderId="2" xfId="0" applyNumberFormat="1" applyFill="1" applyBorder="1"/>
    <xf numFmtId="164" fontId="0" fillId="18" borderId="21" xfId="0" applyNumberFormat="1" applyFill="1" applyBorder="1"/>
    <xf numFmtId="164" fontId="8" fillId="18" borderId="2" xfId="0" applyNumberFormat="1" applyFont="1" applyFill="1" applyBorder="1"/>
    <xf numFmtId="164" fontId="0" fillId="0" borderId="40" xfId="0" applyNumberFormat="1" applyBorder="1"/>
    <xf numFmtId="49" fontId="0" fillId="0" borderId="2" xfId="0" applyNumberFormat="1" applyBorder="1"/>
    <xf numFmtId="3" fontId="0" fillId="0" borderId="2" xfId="0" applyNumberFormat="1" applyBorder="1"/>
    <xf numFmtId="10" fontId="4" fillId="0" borderId="2" xfId="3" applyNumberFormat="1" applyFill="1" applyBorder="1"/>
    <xf numFmtId="0" fontId="0" fillId="14" borderId="2" xfId="0" applyFill="1" applyBorder="1"/>
    <xf numFmtId="10" fontId="0" fillId="14" borderId="2" xfId="0" applyNumberFormat="1" applyFill="1" applyBorder="1"/>
    <xf numFmtId="10" fontId="4" fillId="14" borderId="2" xfId="3" applyNumberFormat="1" applyFill="1" applyBorder="1"/>
    <xf numFmtId="0" fontId="15" fillId="14" borderId="2" xfId="0" applyFont="1" applyFill="1" applyBorder="1"/>
    <xf numFmtId="10" fontId="15" fillId="14" borderId="2" xfId="0" applyNumberFormat="1" applyFont="1" applyFill="1" applyBorder="1"/>
    <xf numFmtId="10" fontId="4" fillId="14" borderId="2" xfId="3" applyNumberFormat="1" applyFont="1" applyFill="1" applyBorder="1"/>
    <xf numFmtId="164" fontId="4" fillId="0" borderId="2" xfId="3" applyNumberFormat="1" applyBorder="1"/>
    <xf numFmtId="44" fontId="6" fillId="19" borderId="0" xfId="1" applyFont="1" applyFill="1"/>
    <xf numFmtId="44" fontId="6" fillId="0" borderId="49" xfId="1" applyFont="1" applyBorder="1" applyAlignment="1">
      <alignment horizontal="center"/>
    </xf>
    <xf numFmtId="44" fontId="6" fillId="0" borderId="43" xfId="1" applyFont="1" applyBorder="1" applyAlignment="1">
      <alignment horizontal="center"/>
    </xf>
    <xf numFmtId="44" fontId="6" fillId="0" borderId="40" xfId="1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0" xfId="0" applyBorder="1" applyAlignment="1">
      <alignment horizontal="center"/>
    </xf>
    <xf numFmtId="0" fontId="7" fillId="7" borderId="2" xfId="7" applyBorder="1" applyAlignment="1">
      <alignment horizontal="center" wrapText="1"/>
    </xf>
    <xf numFmtId="0" fontId="7" fillId="15" borderId="2" xfId="7" applyFill="1" applyBorder="1" applyAlignment="1">
      <alignment horizontal="center" wrapText="1"/>
    </xf>
    <xf numFmtId="0" fontId="0" fillId="0" borderId="2" xfId="0" applyBorder="1" applyAlignment="1">
      <alignment horizontal="center"/>
    </xf>
  </cellXfs>
  <cellStyles count="11">
    <cellStyle name="Currency" xfId="1" builtinId="4"/>
    <cellStyle name="Normal" xfId="0" builtinId="0"/>
    <cellStyle name="Normal 2" xfId="2"/>
    <cellStyle name="Normal 2 2" xfId="3"/>
    <cellStyle name="Normal 2 2 2" xfId="4"/>
    <cellStyle name="Normal 3" xfId="5"/>
    <cellStyle name="Normal 3 2" xfId="6"/>
    <cellStyle name="Output" xfId="7" builtinId="21"/>
    <cellStyle name="Percent" xfId="8" builtinId="5"/>
    <cellStyle name="Percent 2" xfId="9"/>
    <cellStyle name="Percent 3" xfId="10"/>
  </cellStyles>
  <dxfs count="21"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CC5C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CC5C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CC5C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CC5C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CC5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5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thew Megas" refreshedDate="41278.658038078705" createdVersion="1" refreshedVersion="4" recordCount="144" upgradeOnRefresh="1">
  <cacheSource type="worksheet">
    <worksheetSource ref="A2:K146" sheet="OP Collections"/>
  </cacheSource>
  <cacheFields count="11">
    <cacheField name="Service" numFmtId="0">
      <sharedItems count="4">
        <s v="AF"/>
        <s v="Army"/>
        <s v="Navy"/>
        <s v="JTF"/>
      </sharedItems>
    </cacheField>
    <cacheField name="dmis_id" numFmtId="0">
      <sharedItems/>
    </cacheField>
    <cacheField name="dmis_name" numFmtId="0">
      <sharedItems/>
    </cacheField>
    <cacheField name="facility_type" numFmtId="0">
      <sharedItems/>
    </cacheField>
    <cacheField name="FY2006" numFmtId="0">
      <sharedItems containsMixedTypes="1" containsNumber="1" minValue="2818.93" maxValue="3662077.55"/>
    </cacheField>
    <cacheField name="FY2007" numFmtId="0">
      <sharedItems containsMixedTypes="1" containsNumber="1" minValue="18385.650000000001" maxValue="5736090.46"/>
    </cacheField>
    <cacheField name="FY2008" numFmtId="0">
      <sharedItems containsMixedTypes="1" containsNumber="1" minValue="7476.04" maxValue="7326704.5199999996"/>
    </cacheField>
    <cacheField name="FY2009" numFmtId="0">
      <sharedItems containsMixedTypes="1" containsNumber="1" minValue="52104.95" maxValue="7849477.71"/>
    </cacheField>
    <cacheField name="FY2010" numFmtId="0">
      <sharedItems containsMixedTypes="1" containsNumber="1" minValue="15632.72" maxValue="6568483.8200000003"/>
    </cacheField>
    <cacheField name="FY2011" numFmtId="0">
      <sharedItems containsMixedTypes="1" containsNumber="1" minValue="3609.89" maxValue="7727526.6500000004"/>
    </cacheField>
    <cacheField name="FY2012" numFmtId="0">
      <sharedItems containsMixedTypes="1" containsNumber="1" minValue="0" maxValue="6324395.98000000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4">
  <r>
    <x v="0"/>
    <s v="0004"/>
    <s v="Maxwell AFB (42nd Medical Group)"/>
    <s v="C"/>
    <n v="588757.23"/>
    <n v="1547160.81"/>
    <n v="1026270.98"/>
    <n v="1991703.92"/>
    <n v="1675334.69"/>
    <n v="1328542.8500000001"/>
    <n v="2513886.9500000002"/>
  </r>
  <r>
    <x v="0"/>
    <s v="0006"/>
    <s v="Elmendorf AFB (3rd Medical group)"/>
    <s v="H"/>
    <n v="2653344.35"/>
    <n v="3502856.24"/>
    <n v="6123663.9900000002"/>
    <n v="6084582.3399999999"/>
    <n v="5726719.5700000003"/>
    <n v="5440482.9400000004"/>
    <n v="3930839.28"/>
  </r>
  <r>
    <x v="0"/>
    <s v="0009"/>
    <s v="Luke AFB (56th Medical Group)"/>
    <s v="C"/>
    <n v="517023.62"/>
    <n v="1180901.28"/>
    <n v="1542210.35"/>
    <n v="1693734.4"/>
    <n v="1523699.89"/>
    <n v="1279321.6599999999"/>
    <n v="1023634.54"/>
  </r>
  <r>
    <x v="0"/>
    <s v="0010"/>
    <s v="Davis Monthan AFB (355th Medical Group)"/>
    <s v="C"/>
    <n v="140293.38"/>
    <n v="452789.94"/>
    <n v="692360.03"/>
    <n v="799594.86"/>
    <n v="557816.76"/>
    <n v="538027.68999999994"/>
    <n v="563434.68999999994"/>
  </r>
  <r>
    <x v="0"/>
    <s v="0013"/>
    <s v="Little Rock AFB (314th Medical Group)"/>
    <s v="C"/>
    <n v="171595.04"/>
    <n v="896429.71"/>
    <n v="1186643.1100000001"/>
    <n v="1282679.03"/>
    <n v="763103.96"/>
    <n v="1191044.54"/>
    <n v="745469.09"/>
  </r>
  <r>
    <x v="0"/>
    <s v="0014"/>
    <s v="Travis AFB (60th Medical Group)"/>
    <s v="H"/>
    <n v="1020723.18"/>
    <n v="1356280.63"/>
    <n v="1475116.09"/>
    <n v="1862256.47"/>
    <n v="1914512.48"/>
    <n v="1638485.65"/>
    <n v="1855684.04"/>
  </r>
  <r>
    <x v="0"/>
    <s v="0015"/>
    <s v="Beale AFB (9th Medical Group)"/>
    <s v="C"/>
    <n v="53218.83"/>
    <n v="64558.37"/>
    <n v="127451.74"/>
    <n v="227432.95"/>
    <n v="348305.99"/>
    <n v="215463.94"/>
    <n v="204172.12"/>
  </r>
  <r>
    <x v="0"/>
    <s v="0018"/>
    <s v="Vandenberg AFB (30th Medical Group)"/>
    <s v="C"/>
    <n v="21314.61"/>
    <n v="47564.59"/>
    <n v="174444.12"/>
    <n v="239713.19"/>
    <n v="198651.59"/>
    <n v="199311.95"/>
    <n v="168461.3"/>
  </r>
  <r>
    <x v="0"/>
    <s v="0019"/>
    <s v="Edwards AFB (95th Medical Group)"/>
    <s v="C"/>
    <n v="43285.67"/>
    <n v="134325.97"/>
    <n v="256958.1"/>
    <n v="437264.24"/>
    <n v="322075.19"/>
    <n v="253376.34"/>
    <n v="237208.39"/>
  </r>
  <r>
    <x v="0"/>
    <s v="0033"/>
    <s v="USAF Academy (10th Medical Group)"/>
    <s v="H"/>
    <n v="381350.87"/>
    <n v="673416.44"/>
    <n v="482906.19"/>
    <n v="479765.62"/>
    <n v="1027031.52"/>
    <n v="868684.81"/>
    <n v="854566.48"/>
  </r>
  <r>
    <x v="0"/>
    <s v="0036"/>
    <s v="Dover AFB (436th Medical Group)"/>
    <s v="C"/>
    <n v="804149.35"/>
    <n v="1156359.56"/>
    <n v="1817331.1"/>
    <n v="1850207.19"/>
    <n v="2424705.34"/>
    <n v="2091283.75"/>
    <n v="2091283.75"/>
  </r>
  <r>
    <x v="0"/>
    <s v="0042"/>
    <s v="Eglin AFB (96th Medical Group)"/>
    <s v="H"/>
    <n v="858891.82"/>
    <n v="2017857.96"/>
    <n v="3281987.81"/>
    <n v="2819136.37"/>
    <n v="2860793.35"/>
    <n v="1965044.43"/>
    <n v="1526259.59"/>
  </r>
  <r>
    <x v="0"/>
    <s v="0043"/>
    <s v="Tyndall AFB (325th Medical Group)"/>
    <s v="C"/>
    <n v="325665.21999999997"/>
    <n v="937316.94"/>
    <n v="1072895.57"/>
    <n v="1425638.79"/>
    <n v="1045586.6"/>
    <n v="931156.72"/>
    <n v="712438.96"/>
  </r>
  <r>
    <x v="0"/>
    <s v="0045"/>
    <s v="MacDill AFB (6th Medical Group)"/>
    <s v="C"/>
    <n v="1322319.57"/>
    <n v="2728507.58"/>
    <n v="3389776.01"/>
    <n v="3997300.71"/>
    <n v="3057035.71"/>
    <n v="2396138.04"/>
    <n v="1697816.28"/>
  </r>
  <r>
    <x v="0"/>
    <s v="0046"/>
    <s v="Patrick AFB (45th Medical Group)"/>
    <s v="C"/>
    <n v="1048895.56"/>
    <n v="2625716.71"/>
    <n v="3331704.85"/>
    <n v="3272192.61"/>
    <n v="2813013.78"/>
    <n v="2324007.9"/>
    <n v="1670884.63"/>
  </r>
  <r>
    <x v="0"/>
    <s v="0050"/>
    <s v="Moody AFB (347th Medical Group)"/>
    <s v="C"/>
    <n v="108847.2"/>
    <n v="273768.64"/>
    <n v="408203.14"/>
    <n v="684149.45"/>
    <n v="486805.86"/>
    <n v="325856.77"/>
    <n v="241451.27"/>
  </r>
  <r>
    <x v="0"/>
    <s v="0051"/>
    <s v="Robins AFB (78th Medical Group)"/>
    <s v="C"/>
    <n v="709058.63"/>
    <n v="1841291.38"/>
    <n v="1702599.42"/>
    <n v="2191465.8199999998"/>
    <n v="1625913.15"/>
    <n v="1332529.6399999999"/>
    <n v="1122963.32"/>
  </r>
  <r>
    <x v="0"/>
    <s v="0053"/>
    <s v="Mountain Home AFB (366th Medical Group)"/>
    <s v="H"/>
    <n v="376591.6"/>
    <n v="691551.87"/>
    <n v="778297.61"/>
    <n v="838083.95"/>
    <n v="681880.3"/>
    <n v="539678.6"/>
    <n v="503571.64"/>
  </r>
  <r>
    <x v="0"/>
    <s v="0055"/>
    <s v="Scott AFB (375th Medical Group)"/>
    <s v="C"/>
    <n v="922361.9"/>
    <n v="1411899.9"/>
    <n v="1547835.01"/>
    <n v="2066440.22"/>
    <n v="2335554.1800000002"/>
    <n v="1681516.12"/>
    <n v="1651755.5"/>
  </r>
  <r>
    <x v="0"/>
    <s v="0059"/>
    <s v="McConnell AFB (22nd Medical Group)"/>
    <s v="C"/>
    <n v="212944.52"/>
    <n v="497370.1"/>
    <n v="948442.17"/>
    <n v="1148909.21"/>
    <n v="977139.13"/>
    <n v="997434.69"/>
    <n v="594116.86"/>
  </r>
  <r>
    <x v="0"/>
    <s v="0062"/>
    <s v="Barksdale AFB (2nd Medical Group)"/>
    <s v="C"/>
    <n v="430110.63"/>
    <n v="1354627.11"/>
    <n v="1992778.34"/>
    <n v="1804371.15"/>
    <n v="1599386.12"/>
    <n v="1023104.94"/>
    <n v="920292.56"/>
  </r>
  <r>
    <x v="0"/>
    <s v="0066"/>
    <s v="Andrews AFB (79th Medical Group)"/>
    <s v="H"/>
    <n v="1626423.92"/>
    <n v="1989595.12"/>
    <n v="2261776.5699999998"/>
    <n v="3108003.14"/>
    <n v="2684873.1"/>
    <n v="2550835.37"/>
    <n v="2001332.27"/>
  </r>
  <r>
    <x v="0"/>
    <s v="0073"/>
    <s v="Keesler AFB (81st Medical Group)"/>
    <s v="H"/>
    <n v="716682.54"/>
    <n v="1769166.81"/>
    <n v="2715688.61"/>
    <n v="3365864.96"/>
    <n v="3313526.43"/>
    <n v="2462112.4900000002"/>
    <n v="2229560.85"/>
  </r>
  <r>
    <x v="0"/>
    <s v="0074"/>
    <s v="Columbus AFB (14th Medical Group)"/>
    <s v="C"/>
    <n v="79582.789999999994"/>
    <n v="295114.40000000002"/>
    <n v="433343.98"/>
    <n v="578008.25"/>
    <n v="485929.04"/>
    <n v="358130.61"/>
    <n v="326174.95"/>
  </r>
  <r>
    <x v="0"/>
    <s v="0076"/>
    <s v="Whiteman AFB (509th Medical Group)"/>
    <s v="C"/>
    <n v="88356.75"/>
    <n v="266595.11"/>
    <n v="320819.96999999997"/>
    <n v="374768.22"/>
    <n v="325931.75"/>
    <n v="322596.07"/>
    <n v="272043.15000000002"/>
  </r>
  <r>
    <x v="0"/>
    <s v="0077"/>
    <s v="Malmstrom AFB (341st Medical Group)"/>
    <s v="C"/>
    <n v="92790.32"/>
    <n v="433926.63"/>
    <n v="545927.78"/>
    <n v="529217.31000000006"/>
    <n v="367765.74"/>
    <n v="247044.79"/>
    <n v="226515.26"/>
  </r>
  <r>
    <x v="0"/>
    <s v="0078"/>
    <s v="Offutt AFB (55th Medical Group)"/>
    <s v="C"/>
    <n v="825456.42"/>
    <n v="1700155.96"/>
    <n v="2192541.4700000002"/>
    <n v="2497701.0099999998"/>
    <n v="2247252.73"/>
    <n v="2234350.27"/>
    <n v="1679502.88"/>
  </r>
  <r>
    <x v="0"/>
    <s v="0079"/>
    <s v="Nellis AFB (99th Medical Group)"/>
    <s v="H"/>
    <n v="836589.37"/>
    <n v="1503770.81"/>
    <n v="1759024.8"/>
    <n v="1837969.01"/>
    <n v="1523889.19"/>
    <n v="1761297.83"/>
    <n v="1735174.59"/>
  </r>
  <r>
    <x v="0"/>
    <s v="0083"/>
    <s v="Kirtland AFB (377th Medical Group)"/>
    <s v="C"/>
    <n v="62615.74"/>
    <n v="167726.63"/>
    <n v="580094.03"/>
    <n v="910509.19"/>
    <n v="564084.28"/>
    <n v="415987.09"/>
    <n v="297164.59000000003"/>
  </r>
  <r>
    <x v="0"/>
    <s v="0084"/>
    <s v="Holloman AFB (49th Medical Group)"/>
    <s v="C"/>
    <n v="86417.16"/>
    <n v="207805.21"/>
    <n v="274994.40000000002"/>
    <n v="346580.43"/>
    <n v="332895.53000000003"/>
    <n v="195949.36"/>
    <n v="182096.52"/>
  </r>
  <r>
    <x v="0"/>
    <s v="0085"/>
    <s v="Cannon AFB (27th Medical Group)"/>
    <s v="C"/>
    <n v="35782.26"/>
    <n v="117136.2"/>
    <n v="182419.99"/>
    <n v="218819.86"/>
    <n v="239306.28"/>
    <n v="167562.18"/>
    <n v="173846.37"/>
  </r>
  <r>
    <x v="0"/>
    <s v="0090"/>
    <s v="Seymour Johnson AFB (4th Medical Group)"/>
    <s v="C"/>
    <n v="163840.65"/>
    <n v="443984.89"/>
    <n v="835192.13"/>
    <n v="965445.49"/>
    <n v="1123534.03"/>
    <n v="884832.17"/>
    <n v="646375.36"/>
  </r>
  <r>
    <x v="0"/>
    <s v="0093"/>
    <s v="Grand Forks AFB (319th Medical Group)"/>
    <s v="C"/>
    <n v="132734.93"/>
    <n v="278721.94"/>
    <n v="369370.67"/>
    <n v="368115.07"/>
    <n v="303648.53999999998"/>
    <n v="222082.97"/>
    <n v="196314.01"/>
  </r>
  <r>
    <x v="0"/>
    <s v="0094"/>
    <s v="Minot AFB (5th Medical Group)"/>
    <s v="C"/>
    <n v="100543.53"/>
    <n v="236607.38"/>
    <n v="302012.65999999997"/>
    <n v="348170.46"/>
    <n v="275245.32"/>
    <n v="229252.31"/>
    <n v="193652.23"/>
  </r>
  <r>
    <x v="0"/>
    <s v="0095"/>
    <s v="Wright Patterson AFB (88th Medical Group)"/>
    <s v="H"/>
    <n v="3662077.55"/>
    <n v="5736090.46"/>
    <n v="7326704.5199999996"/>
    <n v="7849477.71"/>
    <n v="6568483.8200000003"/>
    <n v="7727526.6500000004"/>
    <n v="4980739.47"/>
  </r>
  <r>
    <x v="0"/>
    <s v="0096"/>
    <s v="Tinker AFB (72th Medical Group)"/>
    <s v="C"/>
    <n v="653177.39"/>
    <n v="1825708.48"/>
    <n v="3427103.43"/>
    <n v="4248988.21"/>
    <n v="2790016.62"/>
    <n v="2009883.78"/>
    <n v="1492117.82"/>
  </r>
  <r>
    <x v="0"/>
    <s v="0097"/>
    <s v="Altus AFB (97th Medical Group)"/>
    <s v="C"/>
    <n v="83003.31"/>
    <n v="190426.96"/>
    <n v="224927.64"/>
    <n v="277628.32"/>
    <n v="251912.09"/>
    <n v="253098.6"/>
    <n v="181935.59"/>
  </r>
  <r>
    <x v="0"/>
    <s v="0101"/>
    <s v="Shaw AFB (20th Medical Group)"/>
    <s v="C"/>
    <n v="314650.8"/>
    <n v="633300.81999999995"/>
    <n v="888308.32"/>
    <n v="934087.16"/>
    <n v="1204460.79"/>
    <n v="1004827.33"/>
    <n v="839863.08"/>
  </r>
  <r>
    <x v="0"/>
    <s v="0106"/>
    <s v="Ellsworth AFB (28th Medical Group)"/>
    <s v="C"/>
    <n v="153713.04"/>
    <n v="354996.57"/>
    <n v="423365.46"/>
    <n v="490462.51"/>
    <n v="507799.94"/>
    <n v="436861.91"/>
    <n v="376331.29"/>
  </r>
  <r>
    <x v="0"/>
    <s v="0112"/>
    <s v="Dyess AFB (7th Medical Group)"/>
    <s v="C"/>
    <n v="162689.76999999999"/>
    <n v="509101.95"/>
    <n v="705234.51"/>
    <n v="726057.88"/>
    <n v="618892.86"/>
    <n v="429546.38"/>
    <n v="367942.26"/>
  </r>
  <r>
    <x v="0"/>
    <s v="0113"/>
    <s v="Sheppard AFB (82nd Medical Group)"/>
    <s v="C"/>
    <n v="512969.39"/>
    <n v="1170039.29"/>
    <n v="1331696.5900000001"/>
    <n v="1430213.89"/>
    <n v="1083547.69"/>
    <n v="864260.31"/>
    <n v="801634.67"/>
  </r>
  <r>
    <x v="0"/>
    <s v="0114"/>
    <s v="Laughlin AFB (47th Medical Group)"/>
    <s v="C"/>
    <n v="86927.26"/>
    <n v="182027.95"/>
    <n v="182902.75"/>
    <n v="224610.76"/>
    <n v="190133.45"/>
    <n v="119806.96"/>
    <n v="194689.64"/>
  </r>
  <r>
    <x v="0"/>
    <s v="0117"/>
    <s v="Lackland AFB (59th Medical Wing)"/>
    <s v="H"/>
    <n v="1761445.96"/>
    <n v="3812316.05"/>
    <n v="4419676.9800000004"/>
    <n v="6146379.2699999996"/>
    <n v="4766894.18"/>
    <n v="6048825.21"/>
    <n v="4464052.62"/>
  </r>
  <r>
    <x v="0"/>
    <s v="0119"/>
    <s v="Hill AFB (75th Medical Group)"/>
    <s v="C"/>
    <n v="656503.16"/>
    <n v="1502885.25"/>
    <n v="3155325.97"/>
    <n v="3441072.38"/>
    <n v="2738237.96"/>
    <n v="1993936.67"/>
    <n v="1815455.54"/>
  </r>
  <r>
    <x v="0"/>
    <s v="0120"/>
    <s v="Langley AFB (1st Medical Group)"/>
    <s v="H"/>
    <n v="424971.48"/>
    <n v="1000286.46"/>
    <n v="1500469.01"/>
    <n v="2114714.3199999998"/>
    <n v="1953471.68"/>
    <n v="1466581.34"/>
    <n v="1222102.83"/>
  </r>
  <r>
    <x v="0"/>
    <s v="0128"/>
    <s v="Fairchild AFB (92nd Medical Group)"/>
    <s v="C"/>
    <n v="334677.98"/>
    <n v="730103.06"/>
    <n v="981135.67"/>
    <n v="1083717.95"/>
    <n v="800589.38"/>
    <n v="685614.73"/>
    <n v="518245.25"/>
  </r>
  <r>
    <x v="0"/>
    <s v="0129"/>
    <s v="F.E. Warren AFB (90th Medical Group)"/>
    <s v="C"/>
    <n v="218241.74"/>
    <n v="471849.22"/>
    <n v="812836.12"/>
    <n v="656750.26"/>
    <n v="679428.16"/>
    <n v="511186.73"/>
    <n v="431618.75"/>
  </r>
  <r>
    <x v="0"/>
    <s v="0203"/>
    <s v="Eielson AFB (354th Medical Group)"/>
    <s v="C"/>
    <n v="82778.66"/>
    <n v="125781.73"/>
    <n v="155083.21"/>
    <n v="153420.14000000001"/>
    <n v="89866.59"/>
    <n v="103113.51"/>
    <n v="78946.97"/>
  </r>
  <r>
    <x v="0"/>
    <s v="0248"/>
    <s v="Los Angeles AFB (61st Medical Squad)"/>
    <s v="C"/>
    <n v="64700.45"/>
    <n v="285855.39"/>
    <n v="488327.98"/>
    <n v="745102.7"/>
    <n v="485950.22"/>
    <n v="386052.77"/>
    <n v="342286.37"/>
  </r>
  <r>
    <x v="0"/>
    <s v="0250"/>
    <s v="McClellan AFB (77th Medical Group)"/>
    <s v="I"/>
    <s v="NULL"/>
    <s v="NULL"/>
    <s v="NULL"/>
    <s v="NULL"/>
    <s v="NULL"/>
    <s v="NULL"/>
    <s v="NULL"/>
  </r>
  <r>
    <x v="0"/>
    <s v="0252"/>
    <s v="Peterson AFB (21st Medical Group)"/>
    <s v="C"/>
    <n v="214019.14"/>
    <n v="801902"/>
    <n v="1043757.76"/>
    <n v="1226497.46"/>
    <n v="872241.48"/>
    <n v="652917.47"/>
    <n v="777681.77"/>
  </r>
  <r>
    <x v="0"/>
    <s v="0287"/>
    <s v="Hickam AFB (15th Medical Group)"/>
    <s v="C"/>
    <n v="90016.29"/>
    <n v="319961.93"/>
    <n v="407496.26"/>
    <n v="586075.63"/>
    <n v="15632.72"/>
    <n v="277824.53999999998"/>
    <n v="253608"/>
  </r>
  <r>
    <x v="0"/>
    <s v="0310"/>
    <s v="Hanscom AFB (66th Medical Group)"/>
    <s v="C"/>
    <n v="2818.93"/>
    <n v="424306.87"/>
    <n v="815829.06"/>
    <n v="914391.81"/>
    <n v="613661.30000000005"/>
    <n v="445258.05"/>
    <n v="263278.55"/>
  </r>
  <r>
    <x v="0"/>
    <s v="0326"/>
    <s v="McGuire AFB (305th Medical Group)"/>
    <s v="C"/>
    <n v="276987.78999999998"/>
    <n v="1008549.04"/>
    <n v="1557430.28"/>
    <n v="1721242.46"/>
    <n v="1483941.66"/>
    <n v="1346568.03"/>
    <n v="997325.17"/>
  </r>
  <r>
    <x v="0"/>
    <s v="0335"/>
    <s v="Pope AFB (43rd Medical Group)"/>
    <s v="C"/>
    <n v="16253.62"/>
    <n v="52210.62"/>
    <n v="72099.73"/>
    <n v="115887.99"/>
    <n v="92959"/>
    <n v="3609.89"/>
    <n v="330.49"/>
  </r>
  <r>
    <x v="0"/>
    <s v="0338"/>
    <s v="Vance AFB (71st Medical Group)"/>
    <s v="C"/>
    <n v="45800.160000000003"/>
    <n v="147080.42000000001"/>
    <n v="215861.59"/>
    <n v="368037.98"/>
    <n v="329251.25"/>
    <n v="260895.09"/>
    <n v="189573.69"/>
  </r>
  <r>
    <x v="0"/>
    <s v="0356"/>
    <s v="Charleston AFB (437th Medical Group)"/>
    <s v="C"/>
    <n v="278452.78999999998"/>
    <n v="593939.55000000005"/>
    <n v="647093.42000000004"/>
    <n v="938566.39"/>
    <n v="690198.77"/>
    <n v="516161.21"/>
    <n v="490613.61"/>
  </r>
  <r>
    <x v="0"/>
    <s v="0363"/>
    <s v="Brooks AFB (311th Medical Squad)"/>
    <s v="I"/>
    <n v="18896.89"/>
    <s v="NULL"/>
    <s v="NULL"/>
    <s v="NULL"/>
    <s v="NULL"/>
    <s v="NULL"/>
    <s v="NULL"/>
  </r>
  <r>
    <x v="0"/>
    <s v="0364"/>
    <s v="Goodfellow AFB (17th Medical Group)"/>
    <s v="C"/>
    <n v="51837.98"/>
    <n v="170172.54"/>
    <n v="244821.98"/>
    <n v="382154.95"/>
    <n v="336422.66"/>
    <n v="383631.62"/>
    <n v="355258.03"/>
  </r>
  <r>
    <x v="0"/>
    <s v="0365"/>
    <s v="Kelly AFB"/>
    <s v="I"/>
    <s v="NULL"/>
    <s v="NULL"/>
    <s v="NULL"/>
    <s v="NULL"/>
    <s v="NULL"/>
    <s v="NULL"/>
    <s v="NULL"/>
  </r>
  <r>
    <x v="0"/>
    <s v="0366"/>
    <s v="Randolph AFB (12 Medical Group)"/>
    <s v="C"/>
    <n v="165093.31"/>
    <n v="421073.28"/>
    <n v="664840.65"/>
    <n v="863301.68"/>
    <n v="901373.28"/>
    <n v="970448.02"/>
    <n v="839547.27"/>
  </r>
  <r>
    <x v="0"/>
    <s v="0395"/>
    <s v="McChord AFB (62nd Medical Group)"/>
    <s v="C"/>
    <n v="188787.38"/>
    <n v="421383.28"/>
    <n v="818116.26"/>
    <s v="NULL"/>
    <s v="NULL"/>
    <s v="NULL"/>
    <s v="NULL"/>
  </r>
  <r>
    <x v="0"/>
    <s v="0413"/>
    <s v="Bolling AFB (579th Medical Group)"/>
    <s v="C"/>
    <n v="64884.57"/>
    <n v="131282.38"/>
    <n v="134057.34"/>
    <n v="219708.74"/>
    <n v="223793.39"/>
    <n v="206708.63"/>
    <n v="224243.73"/>
  </r>
  <r>
    <x v="0"/>
    <s v="7139"/>
    <s v="Hurlburt FLD (1st Special Operations Medical Group)"/>
    <s v="C"/>
    <n v="48141.68"/>
    <n v="175338.92"/>
    <n v="259177.55"/>
    <n v="285625.46999999997"/>
    <n v="266575.78000000003"/>
    <n v="224341.03"/>
    <n v="263713.90000000002"/>
  </r>
  <r>
    <x v="0"/>
    <s v="7200"/>
    <s v="Buckley AFB (460th Medical Squadron)"/>
    <s v="C"/>
    <n v="428205.82"/>
    <n v="983224.44"/>
    <n v="1999210.19"/>
    <n v="1802899.52"/>
    <n v="1346641.54"/>
    <n v="933909.28"/>
    <n v="761239.16"/>
  </r>
  <r>
    <x v="1"/>
    <s v="0001"/>
    <s v="Redstone Arsenal (Fox Army Health Clinic)"/>
    <s v="C"/>
    <n v="649254.80000000005"/>
    <n v="1614588.12"/>
    <n v="3006651.93"/>
    <n v="4426286.24"/>
    <n v="4762528.91"/>
    <n v="4142376.36"/>
    <n v="2514373.71"/>
  </r>
  <r>
    <x v="1"/>
    <s v="0002"/>
    <s v="Ft. McClellan (Patterson ACH)"/>
    <s v="I"/>
    <s v="NULL"/>
    <s v="NULL"/>
    <s v="NULL"/>
    <s v="NULL"/>
    <s v="NULL"/>
    <s v="NULL"/>
    <s v="NULL"/>
  </r>
  <r>
    <x v="1"/>
    <s v="0003"/>
    <s v="Ft. Rucker (Lyster Army Health Clinic)"/>
    <s v="C"/>
    <n v="869026.75"/>
    <n v="1924252.79"/>
    <n v="1949987.94"/>
    <n v="1936972.66"/>
    <n v="1685481.51"/>
    <n v="1998326.52"/>
    <n v="1816980.49"/>
  </r>
  <r>
    <x v="1"/>
    <s v="0005"/>
    <s v="Ft. Wainwright (Bassett Army Community Hospital)"/>
    <s v="H"/>
    <n v="652546.75"/>
    <n v="657960.1"/>
    <n v="811056.41"/>
    <n v="1978697.71"/>
    <n v="2387326.67"/>
    <n v="1632774.52"/>
    <n v="1587733.54"/>
  </r>
  <r>
    <x v="1"/>
    <s v="0008"/>
    <s v="Ft. Huachuca (Bliss Army Health Clinic)"/>
    <s v="C"/>
    <n v="161512.76"/>
    <n v="315570.40000000002"/>
    <n v="478588.89"/>
    <n v="768025.16"/>
    <n v="544127.93999999994"/>
    <n v="435073.28000000003"/>
    <n v="374874.94"/>
  </r>
  <r>
    <x v="1"/>
    <s v="0032"/>
    <s v="Ft. Carson (Evans Army Community Hospital)"/>
    <s v="H"/>
    <n v="356197.77"/>
    <n v="624108.31999999995"/>
    <n v="759433.87"/>
    <n v="979087.42"/>
    <n v="917722.55"/>
    <n v="1037821.82"/>
    <n v="975480.95"/>
  </r>
  <r>
    <x v="1"/>
    <s v="0037"/>
    <s v="Washington D.C. (Walter Reed Army Medical Center)"/>
    <s v="H"/>
    <n v="1942467.19"/>
    <n v="3287268.81"/>
    <n v="2707981.66"/>
    <n v="4407388.24"/>
    <n v="3913632.03"/>
    <n v="5114286.72"/>
    <n v="1125608.82"/>
  </r>
  <r>
    <x v="1"/>
    <s v="0047"/>
    <s v="Ft. Gordon (Eisenhower Army Medical Center)"/>
    <s v="H"/>
    <n v="1585450.71"/>
    <n v="2917428.75"/>
    <n v="3551674.6"/>
    <n v="3777048.24"/>
    <n v="3090374.58"/>
    <n v="2279346.11"/>
    <n v="1632052.25"/>
  </r>
  <r>
    <x v="1"/>
    <s v="0048"/>
    <s v="Ft. Benning (Martin Army Community Hospital)"/>
    <s v="H"/>
    <n v="803297.53"/>
    <n v="1338946.43"/>
    <n v="1495423.56"/>
    <n v="1744836"/>
    <n v="1417908.72"/>
    <n v="1366944.51"/>
    <n v="963107.58"/>
  </r>
  <r>
    <x v="1"/>
    <s v="0049"/>
    <s v="Ft. Stewart (Winn Army Community Hospital)"/>
    <s v="H"/>
    <n v="939000.12"/>
    <n v="1881683.11"/>
    <n v="2245760.96"/>
    <n v="2282782.4"/>
    <n v="1954424.35"/>
    <n v="1461298.53"/>
    <n v="1386229.87"/>
  </r>
  <r>
    <x v="1"/>
    <s v="0052"/>
    <s v="Ft. Shafter (Tripler Army Medical Center)"/>
    <s v="H"/>
    <n v="1327585.81"/>
    <n v="2261820.56"/>
    <n v="2416229.31"/>
    <n v="3166213.98"/>
    <n v="3736753.93"/>
    <n v="2532241.2400000002"/>
    <n v="2029622.12"/>
  </r>
  <r>
    <x v="1"/>
    <s v="0057"/>
    <s v="Ft. Riley (Irwin Army Community Hospital)"/>
    <s v="H"/>
    <n v="417204.2"/>
    <n v="598832.35"/>
    <n v="729839.95"/>
    <n v="921140.11"/>
    <n v="872227.65"/>
    <n v="744379.87"/>
    <n v="695185.3"/>
  </r>
  <r>
    <x v="1"/>
    <s v="0058"/>
    <s v="Ft. Leavenworth (Munson Army Health Clinic)"/>
    <s v="C"/>
    <n v="144890.51999999999"/>
    <n v="302060.03000000003"/>
    <n v="499099.93"/>
    <n v="587935.76"/>
    <n v="560744.35"/>
    <n v="329295.19"/>
    <n v="238790"/>
  </r>
  <r>
    <x v="1"/>
    <s v="0060"/>
    <s v="Ft. Campbell (Blanchfield Army Comm Hospital)"/>
    <s v="H"/>
    <n v="867528.86"/>
    <n v="1664724.09"/>
    <n v="2496280"/>
    <n v="2299900.52"/>
    <n v="1920332.63"/>
    <n v="1249465.07"/>
    <n v="1168930.25"/>
  </r>
  <r>
    <x v="1"/>
    <s v="0061"/>
    <s v="Ft. Knox (Ireland Army Community Hospital)"/>
    <s v="H"/>
    <n v="535849.79"/>
    <n v="1175604.46"/>
    <n v="1966378.46"/>
    <n v="2010769.26"/>
    <n v="1772881.89"/>
    <n v="1344802.34"/>
    <n v="1016964.59"/>
  </r>
  <r>
    <x v="1"/>
    <s v="0064"/>
    <s v="Ft. Polk (Bayne-Jones Army Community Hospital)"/>
    <s v="H"/>
    <n v="413838.77"/>
    <n v="730051.12"/>
    <n v="893754.37"/>
    <n v="965239.59"/>
    <n v="762941.03"/>
    <n v="547821.56999999995"/>
    <n v="381274.8"/>
  </r>
  <r>
    <x v="1"/>
    <s v="0069"/>
    <s v="Ft. Meade (Kimbrough Ambulatory Care Center)"/>
    <s v="C"/>
    <n v="210169.49"/>
    <n v="603545.84"/>
    <n v="1309565.6299999999"/>
    <n v="2986935.14"/>
    <n v="3324977.15"/>
    <n v="3259537.67"/>
    <n v="4706224.71"/>
  </r>
  <r>
    <x v="1"/>
    <s v="0075"/>
    <s v="Ft. Leonard Wood (Wood Army Community Hospital)"/>
    <s v="H"/>
    <n v="240031.06"/>
    <n v="317044.42"/>
    <n v="411390.13"/>
    <n v="617095.62"/>
    <n v="879094.34"/>
    <n v="492347.27"/>
    <n v="341338.76"/>
  </r>
  <r>
    <x v="1"/>
    <s v="0081"/>
    <s v="Ft. Monmouth (Patterson Army Health Clinic)"/>
    <s v="C"/>
    <n v="270575.90000000002"/>
    <n v="490109.12"/>
    <n v="616949.76000000001"/>
    <n v="657708.23"/>
    <s v="NULL"/>
    <s v="NULL"/>
    <s v="NULL"/>
  </r>
  <r>
    <x v="1"/>
    <s v="0086"/>
    <s v="West Point (Keller Army Community Hospital)"/>
    <s v="H"/>
    <n v="140983.20000000001"/>
    <n v="257265.01"/>
    <n v="185810.89"/>
    <n v="588454.37"/>
    <n v="1066248.75"/>
    <n v="692862.99"/>
    <n v="563290.39"/>
  </r>
  <r>
    <x v="1"/>
    <s v="0089"/>
    <s v="Ft. Bragg (Womack Army Medical Center)"/>
    <s v="H"/>
    <n v="2069284.06"/>
    <n v="2554276.7599999998"/>
    <n v="4171084.84"/>
    <n v="4466863.0599999996"/>
    <n v="4213924.2"/>
    <n v="4466076.42"/>
    <n v="2243145.56"/>
  </r>
  <r>
    <x v="1"/>
    <s v="0098"/>
    <s v="Ft. Sill (Reynolds Army Community Hospital)"/>
    <s v="H"/>
    <n v="351966.63"/>
    <n v="858964.52"/>
    <n v="947016.62"/>
    <n v="1045776.32"/>
    <n v="900544.74"/>
    <n v="692523.69"/>
    <n v="722540.39"/>
  </r>
  <r>
    <x v="1"/>
    <s v="0105"/>
    <s v="Ft. Jackson (Moncrief Army Community Hospital)"/>
    <s v="H"/>
    <n v="430447.61"/>
    <n v="925966.11"/>
    <n v="1104695.08"/>
    <n v="1450087.7"/>
    <n v="1521366.15"/>
    <n v="2009263.74"/>
    <n v="1170544.79"/>
  </r>
  <r>
    <x v="1"/>
    <s v="0108"/>
    <s v="Ft. Bliss (William Beaumont Army Medical Center)"/>
    <s v="H"/>
    <n v="1169578.29"/>
    <n v="1616805.58"/>
    <n v="1790331.51"/>
    <n v="2752222.63"/>
    <n v="2096775.28"/>
    <n v="1495994.42"/>
    <n v="1956589.2"/>
  </r>
  <r>
    <x v="1"/>
    <s v="0109"/>
    <s v="Ft. Sam Houston (Brooke Army Medical Center)"/>
    <s v="H"/>
    <n v="1844085.39"/>
    <n v="2641740.2799999998"/>
    <n v="3780494.79"/>
    <n v="4150019.64"/>
    <n v="4868935.8899999997"/>
    <n v="3549885.3"/>
    <n v="3400311.88"/>
  </r>
  <r>
    <x v="1"/>
    <s v="0110"/>
    <s v="Ft. Hood (C.R. Darnall Army Medical Center)"/>
    <s v="H"/>
    <n v="582724.88"/>
    <n v="934011.55"/>
    <n v="1107031.17"/>
    <n v="1167420.98"/>
    <n v="839461.86"/>
    <n v="1092622.3899999999"/>
    <n v="805363.51"/>
  </r>
  <r>
    <x v="1"/>
    <s v="0121"/>
    <s v="Ft. Eustis (McDonald Army Health Center)"/>
    <s v="H"/>
    <n v="178282.43"/>
    <n v="261380.06"/>
    <n v="587407.4"/>
    <n v="610352.5"/>
    <n v="1392480.9"/>
    <n v="932365.75"/>
    <n v="824429.1"/>
  </r>
  <r>
    <x v="1"/>
    <s v="0122"/>
    <s v="Ft. Lee (Kenner Army Health Clinic)"/>
    <s v="C"/>
    <n v="139568.09"/>
    <n v="309853.75"/>
    <n v="393721.52"/>
    <n v="327377.93"/>
    <n v="493136.02"/>
    <n v="1027471.74"/>
    <n v="1046966.67"/>
  </r>
  <r>
    <x v="1"/>
    <s v="0123"/>
    <s v="Ft. Belvoir (FT. Belvoir Community Hospital)"/>
    <s v="H"/>
    <n v="1576437.02"/>
    <n v="2441555.44"/>
    <n v="5290493.4800000004"/>
    <n v="6254557.4800000004"/>
    <n v="5321738.5"/>
    <n v="4936184.01"/>
    <n v="0"/>
  </r>
  <r>
    <x v="1"/>
    <s v="0125"/>
    <s v="Ft. Lewis (Madigan Army Medical Center)"/>
    <s v="H"/>
    <n v="1594492.59"/>
    <n v="1633655.35"/>
    <n v="3742473.31"/>
    <n v="5042106.3899999997"/>
    <n v="3689094.82"/>
    <n v="3281202.84"/>
    <n v="2900746.22"/>
  </r>
  <r>
    <x v="1"/>
    <s v="0131"/>
    <s v="Ft. Irwin (Weed Army Community Hospital)"/>
    <s v="H"/>
    <n v="24759.66"/>
    <n v="18385.650000000001"/>
    <n v="23277.51"/>
    <n v="52104.95"/>
    <n v="47555.58"/>
    <n v="26217.85"/>
    <n v="29479.99"/>
  </r>
  <r>
    <x v="1"/>
    <s v="0206"/>
    <s v="Yuma Proving Grounds"/>
    <s v="I"/>
    <s v="NULL"/>
    <s v="NULL"/>
    <s v="NULL"/>
    <s v="NULL"/>
    <s v="NULL"/>
    <s v="NULL"/>
    <s v="NULL"/>
  </r>
  <r>
    <x v="1"/>
    <s v="0256"/>
    <s v="Pentagon Army Health Clinic"/>
    <s v="I"/>
    <s v="NULL"/>
    <s v="NULL"/>
    <s v="NULL"/>
    <s v="NULL"/>
    <s v="NULL"/>
    <s v="NULL"/>
    <s v="NULL"/>
  </r>
  <r>
    <x v="1"/>
    <s v="0273"/>
    <s v="Ft. McPherson (Lawrence Joel Army Health Clinic)"/>
    <s v="I"/>
    <s v="NULL"/>
    <s v="NULL"/>
    <s v="NULL"/>
    <s v="NULL"/>
    <s v="NULL"/>
    <s v="NULL"/>
    <s v="NULL"/>
  </r>
  <r>
    <x v="1"/>
    <s v="0308"/>
    <s v="Aberdeen Proving Grounds (Kirk Army Health Clinic)"/>
    <s v="I"/>
    <n v="62670.33"/>
    <s v="NULL"/>
    <s v="NULL"/>
    <s v="NULL"/>
    <s v="NULL"/>
    <s v="NULL"/>
    <s v="NULL"/>
  </r>
  <r>
    <x v="1"/>
    <s v="0309"/>
    <s v="Ft. Detrick US Army Health Clinic"/>
    <s v="I"/>
    <n v="75584.63"/>
    <s v="NULL"/>
    <s v="NULL"/>
    <s v="NULL"/>
    <s v="NULL"/>
    <s v="NULL"/>
    <s v="NULL"/>
  </r>
  <r>
    <x v="1"/>
    <s v="0330"/>
    <s v="Ft. Drum (Guthrie Army Health Clinic)"/>
    <s v="C"/>
    <n v="53834.76"/>
    <n v="251535.03"/>
    <n v="430870.31"/>
    <n v="346951.85"/>
    <n v="250817.62"/>
    <n v="218178.91"/>
    <n v="178231.14"/>
  </r>
  <r>
    <x v="1"/>
    <s v="0350"/>
    <s v="Ft. Indiantown Gap US Army Health Clinic"/>
    <s v="I"/>
    <s v="NULL"/>
    <s v="NULL"/>
    <s v="NULL"/>
    <s v="NULL"/>
    <s v="NULL"/>
    <s v="NULL"/>
    <s v="NULL"/>
  </r>
  <r>
    <x v="1"/>
    <s v="0351"/>
    <s v="Letterkenny US Army Health Clinic"/>
    <s v="I"/>
    <s v="NULL"/>
    <s v="NULL"/>
    <s v="NULL"/>
    <s v="NULL"/>
    <s v="NULL"/>
    <s v="NULL"/>
    <s v="NULL"/>
  </r>
  <r>
    <x v="1"/>
    <s v="0352"/>
    <s v="Carlisle (Dunham Army Health Clinic)"/>
    <s v="C"/>
    <n v="317245.28000000003"/>
    <n v="499859.63"/>
    <n v="1252093.2"/>
    <s v="NULL"/>
    <s v="NULL"/>
    <s v="NULL"/>
    <s v="NULL"/>
  </r>
  <r>
    <x v="1"/>
    <s v="0353"/>
    <s v="Tobyhanna US Army Health Clinic"/>
    <s v="I"/>
    <s v="NULL"/>
    <s v="NULL"/>
    <s v="NULL"/>
    <s v="NULL"/>
    <s v="NULL"/>
    <s v="NULL"/>
    <s v="NULL"/>
  </r>
  <r>
    <x v="1"/>
    <s v="0371"/>
    <s v="Dugway Proving Ground"/>
    <s v="I"/>
    <s v="NULL"/>
    <s v="NULL"/>
    <s v="NULL"/>
    <s v="NULL"/>
    <s v="NULL"/>
    <s v="NULL"/>
    <s v="NULL"/>
  </r>
  <r>
    <x v="1"/>
    <s v="0441"/>
    <s v="New Cumberland US Army Health Clinic"/>
    <s v="I"/>
    <s v="NULL"/>
    <s v="NULL"/>
    <s v="NULL"/>
    <s v="NULL"/>
    <s v="NULL"/>
    <s v="NULL"/>
    <s v="NULL"/>
  </r>
  <r>
    <x v="1"/>
    <s v="0606"/>
    <s v="Heidelberg MEDDAC"/>
    <s v="C"/>
    <n v="247281.84"/>
    <n v="275253.94"/>
    <n v="447172.08"/>
    <n v="661353.17000000004"/>
    <n v="521060.38"/>
    <n v="344218.65"/>
    <n v="555051.37"/>
  </r>
  <r>
    <x v="1"/>
    <s v="0607"/>
    <s v="Landstuhl Regional Medical Center"/>
    <s v="H"/>
    <n v="399520.69"/>
    <n v="666311.1"/>
    <n v="991639.89"/>
    <n v="1151663.27"/>
    <n v="1026509.96"/>
    <n v="1134417.3700000001"/>
    <n v="2243329.69"/>
  </r>
  <r>
    <x v="1"/>
    <s v="0609"/>
    <s v="Bavaria MEDDAC"/>
    <s v="C"/>
    <n v="94197.19"/>
    <n v="90750.2"/>
    <n v="153869.74"/>
    <n v="154163.97"/>
    <n v="186227.57"/>
    <n v="153689.29999999999"/>
    <n v="202738.15"/>
  </r>
  <r>
    <x v="1"/>
    <s v="0610"/>
    <s v="MEDDAC Japan"/>
    <s v="I"/>
    <s v="NULL"/>
    <s v="NULL"/>
    <s v="NULL"/>
    <s v="NULL"/>
    <s v="NULL"/>
    <s v="NULL"/>
    <n v="38048.78"/>
  </r>
  <r>
    <x v="1"/>
    <s v="0612"/>
    <s v="Brian Allgood ACH - Seoul"/>
    <s v="H"/>
    <n v="4681.57"/>
    <n v="48284.32"/>
    <n v="7476.04"/>
    <n v="68024.740000000005"/>
    <n v="370107.11"/>
    <n v="382897.5"/>
    <n v="395322.46"/>
  </r>
  <r>
    <x v="2"/>
    <s v="0024"/>
    <s v="NH Camp Pendelton"/>
    <s v="H"/>
    <n v="212151.38"/>
    <n v="267399.38"/>
    <n v="425026.25"/>
    <n v="364631.47"/>
    <n v="308398.39"/>
    <n v="321081.73"/>
    <n v="254375.22"/>
  </r>
  <r>
    <x v="2"/>
    <s v="0028"/>
    <s v="NH Lemoore"/>
    <s v="H"/>
    <n v="317431.05"/>
    <n v="413709.73"/>
    <n v="499688.63"/>
    <n v="1332340.53"/>
    <n v="977655.39"/>
    <n v="604724.01"/>
    <n v="638257.53"/>
  </r>
  <r>
    <x v="2"/>
    <s v="0029"/>
    <s v="NMC San Diego"/>
    <s v="H"/>
    <n v="709685.78"/>
    <n v="811495.26"/>
    <n v="1431228.53"/>
    <n v="2136909.4300000002"/>
    <n v="2144509.2400000002"/>
    <n v="1375746.78"/>
    <n v="1142267.29"/>
  </r>
  <r>
    <x v="2"/>
    <s v="0030"/>
    <s v="NH 29 Palms"/>
    <s v="H"/>
    <n v="71956.070000000007"/>
    <n v="219178.77"/>
    <n v="237345.48"/>
    <n v="192596.49"/>
    <n v="239552"/>
    <n v="373945.71"/>
    <n v="309446.87"/>
  </r>
  <r>
    <x v="2"/>
    <s v="0035"/>
    <s v="NBHC Groton"/>
    <s v="C"/>
    <n v="107563.46"/>
    <n v="279215.14"/>
    <n v="220263.3"/>
    <n v="262300.78000000003"/>
    <n v="331057.21000000002"/>
    <n v="278050.2"/>
    <n v="327890.03999999998"/>
  </r>
  <r>
    <x v="2"/>
    <s v="0038"/>
    <s v="NH Pensacola"/>
    <s v="H"/>
    <n v="858379.5"/>
    <n v="1719626.33"/>
    <n v="1554143.98"/>
    <n v="1950475.44"/>
    <n v="1389430.31"/>
    <n v="1845871.91"/>
    <n v="1698847.45"/>
  </r>
  <r>
    <x v="2"/>
    <s v="0039"/>
    <s v="NH Jacksonville"/>
    <s v="H"/>
    <n v="1468733.46"/>
    <n v="2556276.98"/>
    <n v="4871868.47"/>
    <n v="5482608.0300000003"/>
    <n v="5186234.62"/>
    <n v="3709337.4"/>
    <n v="3270391.28"/>
  </r>
  <r>
    <x v="2"/>
    <s v="0056"/>
    <s v="NHC Great Lakes"/>
    <s v="C"/>
    <n v="575840.9"/>
    <n v="1049071.8799999999"/>
    <n v="1556985.67"/>
    <n v="1803593.42"/>
    <n v="1864631.04"/>
    <n v="1190789.74"/>
    <s v="NULL"/>
  </r>
  <r>
    <x v="2"/>
    <s v="0067"/>
    <s v="Walter Reed National Military Medical Center"/>
    <s v="H"/>
    <n v="1842682.57"/>
    <n v="3426903.16"/>
    <n v="3985155.05"/>
    <n v="4072632.43"/>
    <n v="3840128.78"/>
    <n v="4100061.64"/>
    <n v="0"/>
  </r>
  <r>
    <x v="2"/>
    <s v="0068"/>
    <s v="NHC Patuxent River"/>
    <s v="C"/>
    <n v="201066.47"/>
    <n v="297327.82"/>
    <n v="358305.63"/>
    <n v="645170.47"/>
    <n v="531051.73"/>
    <n v="464068.62"/>
    <n v="337169.21"/>
  </r>
  <r>
    <x v="2"/>
    <s v="0091"/>
    <s v="NH Camp Lejeune"/>
    <s v="H"/>
    <n v="511211.54"/>
    <n v="1241664.29"/>
    <n v="1538067.26"/>
    <n v="1568900.89"/>
    <n v="1365493.43"/>
    <n v="1318356.81"/>
    <n v="1353210.92"/>
  </r>
  <r>
    <x v="2"/>
    <s v="0092"/>
    <s v="NHC Cherry Point"/>
    <s v="H"/>
    <n v="322730.32"/>
    <n v="441003.12"/>
    <n v="1045327.21"/>
    <n v="926735.09"/>
    <n v="792262.12"/>
    <n v="791756.54"/>
    <n v="511583.96"/>
  </r>
  <r>
    <x v="2"/>
    <s v="0100"/>
    <s v="NBHC Newport"/>
    <s v="C"/>
    <n v="167263"/>
    <n v="344200"/>
    <n v="457845"/>
    <n v="416572"/>
    <n v="399629.15"/>
    <n v="223199.76"/>
    <n v="253939.84"/>
  </r>
  <r>
    <x v="2"/>
    <s v="0103"/>
    <s v="NHC Charleston"/>
    <s v="H"/>
    <n v="726188.09"/>
    <n v="1179988.8700000001"/>
    <n v="2327379.15"/>
    <n v="2313899.83"/>
    <n v="1285597.3400000001"/>
    <n v="678688.75"/>
    <n v="549736.88"/>
  </r>
  <r>
    <x v="2"/>
    <s v="0104"/>
    <s v="NH Beaufort"/>
    <s v="H"/>
    <n v="403148.76"/>
    <n v="609159.86"/>
    <n v="884466.98"/>
    <n v="892220.19"/>
    <n v="710152.87"/>
    <n v="465225.42"/>
    <n v="356198.15"/>
  </r>
  <r>
    <x v="2"/>
    <s v="0107"/>
    <s v="NBHC NSA Mid-South"/>
    <s v="C"/>
    <n v="284108.19"/>
    <n v="829860.34"/>
    <n v="901898.85"/>
    <n v="1372912.85"/>
    <n v="1012196.23"/>
    <n v="113645.58"/>
    <s v="NULL"/>
  </r>
  <r>
    <x v="2"/>
    <s v="0118"/>
    <s v="NHC Corpus Christi"/>
    <s v="C"/>
    <n v="129398.65"/>
    <n v="366249.54"/>
    <n v="415482.81"/>
    <n v="414017.99"/>
    <n v="828464.3"/>
    <n v="622381.5"/>
    <n v="625954.97"/>
  </r>
  <r>
    <x v="2"/>
    <s v="0124"/>
    <s v="NMC Portsmouth (VA)"/>
    <s v="H"/>
    <n v="1711421.64"/>
    <n v="2755006.65"/>
    <n v="3283709.41"/>
    <n v="3531458.22"/>
    <n v="4034155.97"/>
    <n v="3603987.15"/>
    <n v="3151416.9"/>
  </r>
  <r>
    <x v="2"/>
    <s v="0126"/>
    <s v="NH Bremerton"/>
    <s v="H"/>
    <n v="947644.45"/>
    <n v="1610254.41"/>
    <n v="2761369.52"/>
    <n v="2828324.77"/>
    <n v="2338564.56"/>
    <n v="1902229.69"/>
    <n v="1883424.22"/>
  </r>
  <r>
    <x v="2"/>
    <s v="0127"/>
    <s v="NH Oak Harbor"/>
    <s v="H"/>
    <n v="220838.03"/>
    <n v="351331.5"/>
    <n v="502436.71"/>
    <n v="449661.26"/>
    <n v="517508.71"/>
    <n v="329285.19"/>
    <n v="316004.88"/>
  </r>
  <r>
    <x v="2"/>
    <s v="0280"/>
    <s v="NHC Hawaii"/>
    <s v="C"/>
    <n v="87479.6"/>
    <n v="197280.26"/>
    <n v="455274.49"/>
    <n v="704563.18"/>
    <n v="513053.38"/>
    <n v="322500.86"/>
    <n v="323471.46999999997"/>
  </r>
  <r>
    <x v="2"/>
    <s v="0297"/>
    <s v="NACC New Orleans"/>
    <s v="C"/>
    <n v="22675.69"/>
    <n v="96763.38"/>
    <n v="61124.93"/>
    <n v="74298.94"/>
    <n v="67982.92"/>
    <n v="4422.4799999999996"/>
    <s v="NULL"/>
  </r>
  <r>
    <x v="2"/>
    <s v="0306"/>
    <s v="NHC Annapolis"/>
    <s v="C"/>
    <n v="92155.07"/>
    <n v="252168.06"/>
    <n v="378918.45"/>
    <n v="394079.08"/>
    <n v="332604.53999999998"/>
    <n v="260463.89"/>
    <n v="257512.79"/>
  </r>
  <r>
    <x v="2"/>
    <s v="0321"/>
    <s v="NBHC Portsmouth (NH)"/>
    <s v="C"/>
    <n v="32183"/>
    <n v="97888"/>
    <n v="119801"/>
    <n v="109569"/>
    <n v="84957.84"/>
    <n v="52163.9"/>
    <n v="43612.79"/>
  </r>
  <r>
    <x v="2"/>
    <s v="0385"/>
    <s v="NHC Quantico"/>
    <s v="C"/>
    <n v="173604.93"/>
    <n v="59431.78"/>
    <n v="203401.43"/>
    <n v="378325.59"/>
    <n v="242687.31"/>
    <n v="194387.23"/>
    <n v="185902.97"/>
  </r>
  <r>
    <x v="2"/>
    <s v="0616"/>
    <s v="NH Roosevelt Roads"/>
    <s v="I"/>
    <s v="NULL"/>
    <s v="NULL"/>
    <s v="NULL"/>
    <s v="NULL"/>
    <s v="NULL"/>
    <s v="NULL"/>
    <s v="NULL"/>
  </r>
  <r>
    <x v="2"/>
    <s v="0620"/>
    <s v="NH Guam"/>
    <s v="H"/>
    <n v="137870.21"/>
    <n v="121060.38"/>
    <n v="101728.22"/>
    <n v="147532.66"/>
    <n v="54829.83"/>
    <n v="192620.78"/>
    <n v="181025.59"/>
  </r>
  <r>
    <x v="2"/>
    <s v="0621"/>
    <s v="NH Okinawa"/>
    <s v="I"/>
    <s v="NULL"/>
    <s v="NULL"/>
    <s v="NULL"/>
    <s v="NULL"/>
    <s v="NULL"/>
    <s v="NULL"/>
    <s v="NULL"/>
  </r>
  <r>
    <x v="2"/>
    <s v="0622"/>
    <s v="NH Yokosuka"/>
    <s v="I"/>
    <s v="NULL"/>
    <s v="NULL"/>
    <s v="NULL"/>
    <s v="NULL"/>
    <s v="NULL"/>
    <s v="NULL"/>
    <s v="NULL"/>
  </r>
  <r>
    <x v="3"/>
    <s v="0123"/>
    <s v="Ft. Belvoir (FT. Belvoir Community Hospital)"/>
    <s v="H"/>
    <n v="1576437.02"/>
    <n v="2441555.44"/>
    <n v="5290493.4800000004"/>
    <n v="6254557.4800000004"/>
    <n v="5321738.5"/>
    <n v="4936184.01"/>
    <n v="6324395.9800000004"/>
  </r>
  <r>
    <x v="3"/>
    <s v="0067"/>
    <s v="Walter Reed National Military Medical Center"/>
    <s v="H"/>
    <n v="1842682.57"/>
    <n v="3426903.16"/>
    <n v="3985155.05"/>
    <n v="4072632.43"/>
    <n v="3840128.78"/>
    <n v="4100061.64"/>
    <n v="5687607.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Data" updatedVersion="4" showMemberPropertyTips="0" useAutoFormatting="1" itemPrintTitles="1" createdVersion="1" indent="0" compact="0" compactData="0" gridDropZones="1">
  <location ref="A3:C9" firstHeaderRow="1" firstDataRow="2" firstDataCol="1"/>
  <pivotFields count="11">
    <pivotField axis="axisRow" compact="0" outline="0" subtotalTop="0" showAll="0" includeNewItemsInFilter="1">
      <items count="5">
        <item x="0"/>
        <item x="1"/>
        <item x="3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FY2011" fld="9" baseField="0" baseItem="1" numFmtId="164"/>
    <dataField name="Sum of FY2012" fld="10" baseField="0" baseItem="1" numFmtId="164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="Data" altTextSummary="Service Fields and Data of the Sum of FY2011 and FY 2012 per each Service.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zoomScaleNormal="100" workbookViewId="0">
      <selection activeCell="I1" sqref="I1:K1"/>
    </sheetView>
  </sheetViews>
  <sheetFormatPr defaultRowHeight="15" x14ac:dyDescent="0.25"/>
  <cols>
    <col min="2" max="2" width="16.5703125" bestFit="1" customWidth="1"/>
    <col min="3" max="3" width="16.5703125" customWidth="1"/>
    <col min="5" max="5" width="13.42578125" customWidth="1"/>
    <col min="6" max="6" width="16.5703125" bestFit="1" customWidth="1"/>
    <col min="7" max="7" width="16.5703125" customWidth="1"/>
    <col min="10" max="10" width="16.5703125" bestFit="1" customWidth="1"/>
    <col min="11" max="11" width="16.5703125" customWidth="1"/>
  </cols>
  <sheetData>
    <row r="1" spans="1:11" x14ac:dyDescent="0.25">
      <c r="A1" s="282" t="s">
        <v>595</v>
      </c>
      <c r="B1" s="282"/>
      <c r="C1" s="282"/>
      <c r="E1" s="283" t="s">
        <v>596</v>
      </c>
      <c r="F1" s="283"/>
      <c r="G1" s="283"/>
      <c r="I1" s="282" t="s">
        <v>167</v>
      </c>
      <c r="J1" s="282"/>
      <c r="K1" s="282"/>
    </row>
    <row r="2" spans="1:11" x14ac:dyDescent="0.25">
      <c r="A2" s="11"/>
      <c r="B2" s="95" t="s">
        <v>616</v>
      </c>
      <c r="C2" s="260" t="s">
        <v>622</v>
      </c>
      <c r="D2" s="94"/>
      <c r="E2" s="233"/>
      <c r="F2" s="233" t="s">
        <v>616</v>
      </c>
      <c r="G2" s="260" t="s">
        <v>622</v>
      </c>
      <c r="H2" s="94"/>
      <c r="I2" s="95"/>
      <c r="J2" s="95" t="s">
        <v>616</v>
      </c>
      <c r="K2" s="260" t="s">
        <v>622</v>
      </c>
    </row>
    <row r="3" spans="1:11" ht="15.75" thickBot="1" x14ac:dyDescent="0.3">
      <c r="A3" s="11" t="s">
        <v>589</v>
      </c>
      <c r="B3" s="96">
        <f>'OP Collections'!M68</f>
        <v>42230901.970000006</v>
      </c>
      <c r="C3" s="261">
        <f>'Army OP'!S44</f>
        <v>45021152.334455043</v>
      </c>
      <c r="D3" s="94"/>
      <c r="E3" s="233" t="s">
        <v>589</v>
      </c>
      <c r="F3" s="244">
        <f>'IP Collections'!M68</f>
        <v>22711774.100000001</v>
      </c>
      <c r="G3" s="261">
        <f>'Army IP'!M51</f>
        <v>21504863.414759751</v>
      </c>
      <c r="H3" s="94"/>
      <c r="I3" s="95" t="s">
        <v>589</v>
      </c>
      <c r="J3" s="100">
        <f t="shared" ref="J3:K5" si="0">F3+B3</f>
        <v>64942676.070000008</v>
      </c>
      <c r="K3" s="263">
        <f t="shared" si="0"/>
        <v>66526015.749214798</v>
      </c>
    </row>
    <row r="4" spans="1:11" ht="15.75" thickBot="1" x14ac:dyDescent="0.3">
      <c r="A4" s="11" t="s">
        <v>590</v>
      </c>
      <c r="B4" s="96">
        <f>'OP Collections'!M116</f>
        <v>17971641.219999999</v>
      </c>
      <c r="C4" s="262">
        <f>'Navy OP'!S35</f>
        <v>25559048.858079534</v>
      </c>
      <c r="D4" s="94"/>
      <c r="E4" s="233" t="s">
        <v>590</v>
      </c>
      <c r="F4" s="244">
        <f>'IP Collections'!M114</f>
        <v>4481079.18</v>
      </c>
      <c r="G4" s="261">
        <f>'Navy IP'!M32</f>
        <v>4953042.0832514679</v>
      </c>
      <c r="H4" s="94"/>
      <c r="I4" s="95" t="s">
        <v>590</v>
      </c>
      <c r="J4" s="100">
        <f t="shared" si="0"/>
        <v>22452720.399999999</v>
      </c>
      <c r="K4" s="263">
        <f t="shared" si="0"/>
        <v>30512090.941331003</v>
      </c>
    </row>
    <row r="5" spans="1:11" x14ac:dyDescent="0.25">
      <c r="A5" s="11" t="s">
        <v>591</v>
      </c>
      <c r="B5" s="96">
        <f>'OP Collections'!M3</f>
        <v>58514319.789999984</v>
      </c>
      <c r="C5" s="261">
        <f>'Air Force OP'!S88</f>
        <v>59545554.328429125</v>
      </c>
      <c r="D5" s="94"/>
      <c r="E5" s="233" t="s">
        <v>591</v>
      </c>
      <c r="F5" s="244">
        <f>'IP Collections'!M3</f>
        <v>5353112.2699999996</v>
      </c>
      <c r="G5" s="261">
        <f>'Air Force IP'!M69</f>
        <v>5554629.5850142837</v>
      </c>
      <c r="H5" s="94"/>
      <c r="I5" s="95" t="s">
        <v>591</v>
      </c>
      <c r="J5" s="100">
        <f t="shared" si="0"/>
        <v>63867432.059999987</v>
      </c>
      <c r="K5" s="263">
        <f t="shared" si="0"/>
        <v>65100183.913443409</v>
      </c>
    </row>
    <row r="6" spans="1:11" x14ac:dyDescent="0.25">
      <c r="A6" s="95" t="s">
        <v>627</v>
      </c>
      <c r="B6" s="96">
        <f>'OP Collections'!M145</f>
        <v>12012003.940000001</v>
      </c>
      <c r="C6" s="261">
        <f>'JTF OP'!S4</f>
        <v>14597280.285454547</v>
      </c>
      <c r="D6" s="94"/>
      <c r="E6" s="233" t="s">
        <v>627</v>
      </c>
      <c r="F6" s="244">
        <f>'IP Collections'!M143</f>
        <v>4839519.3499999996</v>
      </c>
      <c r="G6" s="261">
        <f>'JTF IP'!L5</f>
        <v>4998452.956373293</v>
      </c>
      <c r="H6" s="94"/>
      <c r="I6" s="95" t="s">
        <v>627</v>
      </c>
      <c r="J6" s="100">
        <f>SUM(B6,F6)</f>
        <v>16851523.289999999</v>
      </c>
      <c r="K6" s="263">
        <f>SUM(C6,G6)</f>
        <v>19595733.241827838</v>
      </c>
    </row>
    <row r="7" spans="1:11" x14ac:dyDescent="0.25">
      <c r="A7" s="95" t="s">
        <v>592</v>
      </c>
      <c r="B7" s="243">
        <f>SUM(B3:B6)</f>
        <v>130728866.91999999</v>
      </c>
      <c r="C7" s="261">
        <f>SUM(C3:C6)</f>
        <v>144723035.80641824</v>
      </c>
      <c r="D7" s="94"/>
      <c r="E7" s="233" t="s">
        <v>592</v>
      </c>
      <c r="F7" s="244">
        <f>SUM(F3:F6)</f>
        <v>37385484.899999999</v>
      </c>
      <c r="G7" s="261">
        <f>SUM(G3:G6)</f>
        <v>37010988.039398797</v>
      </c>
      <c r="H7" s="94"/>
      <c r="I7" s="95" t="s">
        <v>592</v>
      </c>
      <c r="J7" s="243">
        <f>SUM(J3:J6)</f>
        <v>168114351.81999996</v>
      </c>
      <c r="K7" s="261">
        <f>SUM(K3:K6)</f>
        <v>181734023.84581706</v>
      </c>
    </row>
    <row r="9" spans="1:11" x14ac:dyDescent="0.25">
      <c r="E9" s="239"/>
      <c r="F9" s="239"/>
      <c r="G9" s="239"/>
    </row>
    <row r="10" spans="1:11" x14ac:dyDescent="0.25">
      <c r="A10" s="279" t="s">
        <v>633</v>
      </c>
      <c r="B10" s="280"/>
      <c r="C10" s="281"/>
      <c r="E10" s="245"/>
      <c r="F10" s="239"/>
      <c r="G10" s="239"/>
    </row>
    <row r="11" spans="1:11" x14ac:dyDescent="0.25">
      <c r="A11" s="236" t="s">
        <v>628</v>
      </c>
      <c r="B11" s="236" t="s">
        <v>632</v>
      </c>
      <c r="C11" s="236" t="s">
        <v>631</v>
      </c>
      <c r="E11" s="231"/>
      <c r="F11" s="231"/>
      <c r="G11" s="246"/>
    </row>
    <row r="12" spans="1:11" x14ac:dyDescent="0.25">
      <c r="A12" s="236" t="s">
        <v>606</v>
      </c>
      <c r="B12" s="259">
        <v>7878642.0000000009</v>
      </c>
      <c r="C12" s="259">
        <v>5353112.2699999996</v>
      </c>
      <c r="E12" s="225"/>
      <c r="F12" s="245"/>
      <c r="G12" s="239"/>
    </row>
    <row r="13" spans="1:11" x14ac:dyDescent="0.25">
      <c r="A13" s="236" t="s">
        <v>589</v>
      </c>
      <c r="B13" s="259">
        <v>22459465.159999996</v>
      </c>
      <c r="C13" s="259">
        <v>22711774.100000001</v>
      </c>
      <c r="E13" s="239"/>
      <c r="F13" s="225"/>
      <c r="G13" s="239"/>
    </row>
    <row r="14" spans="1:11" x14ac:dyDescent="0.25">
      <c r="A14" s="236" t="s">
        <v>612</v>
      </c>
      <c r="B14" s="259">
        <v>2857159.27</v>
      </c>
      <c r="C14" s="259">
        <v>4839519.3499999996</v>
      </c>
      <c r="E14" s="239"/>
      <c r="F14" s="239"/>
      <c r="G14" s="239"/>
    </row>
    <row r="15" spans="1:11" x14ac:dyDescent="0.25">
      <c r="A15" s="236" t="s">
        <v>590</v>
      </c>
      <c r="B15" s="259">
        <v>4734502.959999999</v>
      </c>
      <c r="C15" s="259">
        <v>4481079.18</v>
      </c>
      <c r="E15" s="225"/>
      <c r="F15" s="239"/>
      <c r="G15" s="239"/>
    </row>
    <row r="16" spans="1:11" x14ac:dyDescent="0.25">
      <c r="A16" s="236" t="s">
        <v>629</v>
      </c>
      <c r="B16" s="259">
        <v>37929769.389999993</v>
      </c>
      <c r="C16" s="259">
        <v>37385484.899999999</v>
      </c>
      <c r="E16" s="239"/>
      <c r="F16" s="239"/>
      <c r="G16" s="239"/>
    </row>
    <row r="17" spans="1:7" x14ac:dyDescent="0.25">
      <c r="E17" s="239"/>
      <c r="F17" s="239"/>
      <c r="G17" s="239"/>
    </row>
    <row r="18" spans="1:7" x14ac:dyDescent="0.25">
      <c r="A18" s="279" t="s">
        <v>635</v>
      </c>
      <c r="B18" s="280"/>
      <c r="C18" s="281"/>
    </row>
    <row r="19" spans="1:7" x14ac:dyDescent="0.25">
      <c r="A19" s="236" t="s">
        <v>634</v>
      </c>
      <c r="B19" s="236" t="s">
        <v>632</v>
      </c>
      <c r="C19" s="236" t="s">
        <v>631</v>
      </c>
    </row>
    <row r="20" spans="1:7" x14ac:dyDescent="0.25">
      <c r="A20" s="236" t="s">
        <v>606</v>
      </c>
      <c r="B20" s="259">
        <v>70875923.219999999</v>
      </c>
      <c r="C20" s="259">
        <v>58514319.789999984</v>
      </c>
    </row>
    <row r="21" spans="1:7" x14ac:dyDescent="0.25">
      <c r="A21" s="236" t="s">
        <v>589</v>
      </c>
      <c r="B21" s="259">
        <v>56404211.459999986</v>
      </c>
      <c r="C21" s="259">
        <v>42230901.970000006</v>
      </c>
    </row>
    <row r="22" spans="1:7" x14ac:dyDescent="0.25">
      <c r="A22" s="236" t="s">
        <v>612</v>
      </c>
      <c r="B22" s="259">
        <v>9036245.6500000004</v>
      </c>
      <c r="C22" s="259">
        <v>12012003.940000001</v>
      </c>
    </row>
    <row r="23" spans="1:7" x14ac:dyDescent="0.25">
      <c r="A23" s="236" t="s">
        <v>590</v>
      </c>
      <c r="B23" s="259">
        <v>25338993.270000003</v>
      </c>
      <c r="C23" s="259">
        <v>17971641.219999999</v>
      </c>
    </row>
    <row r="24" spans="1:7" x14ac:dyDescent="0.25">
      <c r="A24" s="236" t="s">
        <v>629</v>
      </c>
      <c r="B24" s="259">
        <v>161655373.59999999</v>
      </c>
      <c r="C24" s="259">
        <v>130728866.91999999</v>
      </c>
    </row>
    <row r="26" spans="1:7" x14ac:dyDescent="0.25">
      <c r="A26" s="276" t="s">
        <v>592</v>
      </c>
      <c r="B26" s="277"/>
      <c r="C26" s="278"/>
    </row>
    <row r="27" spans="1:7" x14ac:dyDescent="0.25">
      <c r="A27" s="259" t="s">
        <v>634</v>
      </c>
      <c r="B27" s="259" t="s">
        <v>632</v>
      </c>
      <c r="C27" s="259" t="s">
        <v>631</v>
      </c>
    </row>
    <row r="28" spans="1:7" x14ac:dyDescent="0.25">
      <c r="A28" s="259" t="s">
        <v>606</v>
      </c>
      <c r="B28" s="259">
        <f>SUM(B12,B20)</f>
        <v>78754565.219999999</v>
      </c>
      <c r="C28" s="259">
        <f>SUM(C12,C20)</f>
        <v>63867432.059999987</v>
      </c>
    </row>
    <row r="29" spans="1:7" x14ac:dyDescent="0.25">
      <c r="A29" s="259" t="s">
        <v>589</v>
      </c>
      <c r="B29" s="259">
        <f t="shared" ref="B29:C32" si="1">SUM(B13,B21)</f>
        <v>78863676.619999975</v>
      </c>
      <c r="C29" s="259">
        <f>SUM(C13,C21)</f>
        <v>64942676.070000008</v>
      </c>
    </row>
    <row r="30" spans="1:7" x14ac:dyDescent="0.25">
      <c r="A30" s="259" t="s">
        <v>612</v>
      </c>
      <c r="B30" s="259">
        <f t="shared" si="1"/>
        <v>11893404.92</v>
      </c>
      <c r="C30" s="259">
        <f>SUM(C14,C22)</f>
        <v>16851523.289999999</v>
      </c>
    </row>
    <row r="31" spans="1:7" x14ac:dyDescent="0.25">
      <c r="A31" s="259" t="s">
        <v>590</v>
      </c>
      <c r="B31" s="259">
        <f t="shared" si="1"/>
        <v>30073496.230000004</v>
      </c>
      <c r="C31" s="259">
        <f>SUM(C15,C23)</f>
        <v>22452720.399999999</v>
      </c>
    </row>
    <row r="32" spans="1:7" x14ac:dyDescent="0.25">
      <c r="A32" s="259" t="s">
        <v>629</v>
      </c>
      <c r="B32" s="259">
        <f t="shared" si="1"/>
        <v>199585142.98999998</v>
      </c>
      <c r="C32" s="259">
        <f t="shared" si="1"/>
        <v>168114351.81999999</v>
      </c>
    </row>
  </sheetData>
  <mergeCells count="6">
    <mergeCell ref="I1:K1"/>
    <mergeCell ref="A26:C26"/>
    <mergeCell ref="A10:C10"/>
    <mergeCell ref="A18:C18"/>
    <mergeCell ref="A1:C1"/>
    <mergeCell ref="E1:G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opLeftCell="C4" zoomScaleNormal="100" workbookViewId="0">
      <selection activeCell="K50" sqref="K50"/>
    </sheetView>
  </sheetViews>
  <sheetFormatPr defaultRowHeight="15" x14ac:dyDescent="0.25"/>
  <cols>
    <col min="2" max="2" width="48.7109375" bestFit="1" customWidth="1"/>
    <col min="11" max="11" width="17" customWidth="1"/>
    <col min="12" max="12" width="15" bestFit="1" customWidth="1"/>
    <col min="13" max="13" width="13.85546875" bestFit="1" customWidth="1"/>
    <col min="14" max="14" width="13.5703125" customWidth="1"/>
  </cols>
  <sheetData>
    <row r="1" spans="1:14" x14ac:dyDescent="0.25">
      <c r="A1" s="265" t="s">
        <v>0</v>
      </c>
      <c r="B1" s="265" t="s">
        <v>1</v>
      </c>
      <c r="C1" s="265" t="s">
        <v>2</v>
      </c>
      <c r="D1" s="265"/>
      <c r="E1" s="236" t="s">
        <v>3</v>
      </c>
      <c r="F1" s="265"/>
      <c r="G1" s="236"/>
      <c r="H1" s="236"/>
      <c r="I1" s="236"/>
      <c r="J1" s="236"/>
      <c r="K1" s="236"/>
      <c r="L1" s="236"/>
      <c r="M1" s="236"/>
    </row>
    <row r="2" spans="1:14" x14ac:dyDescent="0.25">
      <c r="A2" s="236"/>
      <c r="B2" s="236"/>
      <c r="C2" s="236"/>
      <c r="D2" s="266" t="s">
        <v>4</v>
      </c>
      <c r="E2" s="266" t="s">
        <v>5</v>
      </c>
      <c r="F2" s="266" t="s">
        <v>6</v>
      </c>
      <c r="G2" s="266" t="s">
        <v>7</v>
      </c>
      <c r="H2" s="266" t="s">
        <v>8</v>
      </c>
      <c r="I2" s="266" t="s">
        <v>600</v>
      </c>
      <c r="J2" s="266" t="s">
        <v>613</v>
      </c>
      <c r="K2" s="4" t="s">
        <v>9</v>
      </c>
      <c r="L2" s="4" t="s">
        <v>617</v>
      </c>
      <c r="M2" s="4" t="s">
        <v>618</v>
      </c>
      <c r="N2" s="1" t="s">
        <v>593</v>
      </c>
    </row>
    <row r="3" spans="1:14" x14ac:dyDescent="0.25">
      <c r="A3" s="236" t="s">
        <v>10</v>
      </c>
      <c r="B3" s="236" t="s">
        <v>11</v>
      </c>
      <c r="C3" s="236" t="s">
        <v>12</v>
      </c>
      <c r="D3" s="205" t="s">
        <v>13</v>
      </c>
      <c r="E3" s="205" t="s">
        <v>13</v>
      </c>
      <c r="F3" s="205" t="s">
        <v>13</v>
      </c>
      <c r="G3" s="205" t="s">
        <v>13</v>
      </c>
      <c r="H3" s="205" t="s">
        <v>13</v>
      </c>
      <c r="I3" s="205" t="s">
        <v>13</v>
      </c>
      <c r="J3" s="202" t="s">
        <v>13</v>
      </c>
      <c r="K3" s="236">
        <f>IF(I3&lt;0.0242,0.0242/H3,0)</f>
        <v>0</v>
      </c>
      <c r="L3" s="4"/>
      <c r="M3" s="4">
        <f>IF(K3&gt;0,L3*K3,L3)</f>
        <v>0</v>
      </c>
    </row>
    <row r="4" spans="1:14" x14ac:dyDescent="0.25">
      <c r="A4" s="236" t="s">
        <v>14</v>
      </c>
      <c r="B4" s="236" t="s">
        <v>15</v>
      </c>
      <c r="C4" s="236" t="s">
        <v>16</v>
      </c>
      <c r="D4" s="205" t="s">
        <v>13</v>
      </c>
      <c r="E4" s="205" t="s">
        <v>13</v>
      </c>
      <c r="F4" s="205" t="s">
        <v>13</v>
      </c>
      <c r="G4" s="205" t="s">
        <v>13</v>
      </c>
      <c r="H4" s="205" t="s">
        <v>13</v>
      </c>
      <c r="I4" s="205" t="s">
        <v>13</v>
      </c>
      <c r="J4" s="202" t="s">
        <v>13</v>
      </c>
      <c r="K4" s="236">
        <f>IF(I4&lt;0.0242,0.0242/H4,0)</f>
        <v>0</v>
      </c>
      <c r="L4" s="4"/>
      <c r="M4" s="4">
        <f>IF(K4&gt;0,L4*K4,L4)</f>
        <v>0</v>
      </c>
    </row>
    <row r="5" spans="1:14" x14ac:dyDescent="0.25">
      <c r="A5" s="236" t="s">
        <v>17</v>
      </c>
      <c r="B5" s="236" t="s">
        <v>18</v>
      </c>
      <c r="C5" s="236" t="s">
        <v>12</v>
      </c>
      <c r="D5" s="205" t="s">
        <v>13</v>
      </c>
      <c r="E5" s="205" t="s">
        <v>13</v>
      </c>
      <c r="F5" s="205" t="s">
        <v>13</v>
      </c>
      <c r="G5" s="205" t="s">
        <v>13</v>
      </c>
      <c r="H5" s="205" t="s">
        <v>13</v>
      </c>
      <c r="I5" s="205" t="s">
        <v>13</v>
      </c>
      <c r="J5" s="267" t="s">
        <v>13</v>
      </c>
      <c r="K5" s="236">
        <f>IF(I5&lt;0.0242,0.0242/H5,0)</f>
        <v>0</v>
      </c>
      <c r="L5" s="4"/>
      <c r="M5" s="4">
        <f>IF(K5&gt;0,L5*K5,L5)</f>
        <v>0</v>
      </c>
    </row>
    <row r="6" spans="1:14" x14ac:dyDescent="0.25">
      <c r="A6" s="236" t="s">
        <v>19</v>
      </c>
      <c r="B6" s="236" t="s">
        <v>20</v>
      </c>
      <c r="C6" s="236" t="s">
        <v>21</v>
      </c>
      <c r="D6" s="205">
        <v>4.7988708539167257E-2</v>
      </c>
      <c r="E6" s="205">
        <v>3.0160857908847184E-2</v>
      </c>
      <c r="F6" s="205">
        <v>3.536345776031434E-2</v>
      </c>
      <c r="G6" s="205">
        <v>5.1612903225806452E-2</v>
      </c>
      <c r="H6" s="205">
        <v>3.4009546539379473E-2</v>
      </c>
      <c r="I6" s="205">
        <v>3.2471437161755864E-2</v>
      </c>
      <c r="J6" s="202">
        <v>3.9085545722713867E-2</v>
      </c>
      <c r="K6" s="240">
        <f>IF(J6&lt;J$51,J$51/J6,0)</f>
        <v>0</v>
      </c>
      <c r="L6" s="4">
        <v>332689.02</v>
      </c>
      <c r="M6" s="4">
        <f>IF(K6&gt;0,L6*K6,L6)</f>
        <v>332689.02</v>
      </c>
    </row>
    <row r="7" spans="1:14" x14ac:dyDescent="0.25">
      <c r="A7" s="240" t="s">
        <v>22</v>
      </c>
      <c r="B7" s="240" t="s">
        <v>23</v>
      </c>
      <c r="C7" s="240" t="s">
        <v>12</v>
      </c>
      <c r="D7" s="201" t="s">
        <v>13</v>
      </c>
      <c r="E7" s="201" t="s">
        <v>13</v>
      </c>
      <c r="F7" s="201" t="s">
        <v>13</v>
      </c>
      <c r="G7" s="201" t="s">
        <v>13</v>
      </c>
      <c r="H7" s="201" t="s">
        <v>13</v>
      </c>
      <c r="I7" s="201" t="s">
        <v>13</v>
      </c>
      <c r="J7" s="202" t="s">
        <v>13</v>
      </c>
      <c r="K7" s="240">
        <f>IF(I7&lt;0.0242,0.0242/H7,0)</f>
        <v>0</v>
      </c>
      <c r="L7" s="4"/>
      <c r="M7" s="241">
        <f t="shared" ref="M7:M50" si="0">IF(K7&gt;0,L7*K7,L7)</f>
        <v>0</v>
      </c>
    </row>
    <row r="8" spans="1:14" x14ac:dyDescent="0.25">
      <c r="A8" s="240" t="s">
        <v>24</v>
      </c>
      <c r="B8" s="240" t="s">
        <v>25</v>
      </c>
      <c r="C8" s="240" t="s">
        <v>21</v>
      </c>
      <c r="D8" s="201">
        <v>1.0630587098332931E-2</v>
      </c>
      <c r="E8" s="201">
        <v>8.385744234800839E-3</v>
      </c>
      <c r="F8" s="201">
        <v>6.8508287292817676E-3</v>
      </c>
      <c r="G8" s="201">
        <v>4.5372050816696917E-3</v>
      </c>
      <c r="H8" s="201">
        <v>5.846947549441101E-3</v>
      </c>
      <c r="I8" s="201">
        <v>7.825920977285742E-3</v>
      </c>
      <c r="J8" s="202">
        <v>8.7248322147650999E-3</v>
      </c>
      <c r="K8" s="240">
        <f>IF(J8&lt;J$51,J$51/J8,0)</f>
        <v>2.5874208651337076</v>
      </c>
      <c r="L8" s="4">
        <v>180700.69</v>
      </c>
      <c r="M8" s="241">
        <f t="shared" si="0"/>
        <v>467548.7356500579</v>
      </c>
    </row>
    <row r="9" spans="1:14" s="199" customFormat="1" x14ac:dyDescent="0.25">
      <c r="A9" s="268" t="s">
        <v>26</v>
      </c>
      <c r="B9" s="268" t="s">
        <v>27</v>
      </c>
      <c r="C9" s="268" t="s">
        <v>21</v>
      </c>
      <c r="D9" s="269">
        <v>6.9897744782182372E-2</v>
      </c>
      <c r="E9" s="269">
        <v>7.6933625891387816E-2</v>
      </c>
      <c r="F9" s="269">
        <v>7.1181755355908774E-2</v>
      </c>
      <c r="G9" s="269">
        <v>7.7439194856024601E-2</v>
      </c>
      <c r="H9" s="269">
        <v>7.5211864406779655E-2</v>
      </c>
      <c r="I9" s="269">
        <v>0.10490511994271393</v>
      </c>
      <c r="J9" s="270"/>
      <c r="K9" s="268" t="e">
        <f>IF(J9&lt;J$51,J$51/J9,0)</f>
        <v>#DIV/0!</v>
      </c>
      <c r="L9" s="275">
        <v>2934040.7</v>
      </c>
      <c r="M9" s="200">
        <v>0</v>
      </c>
      <c r="N9" s="264" t="s">
        <v>612</v>
      </c>
    </row>
    <row r="10" spans="1:14" x14ac:dyDescent="0.25">
      <c r="A10" s="240" t="s">
        <v>28</v>
      </c>
      <c r="B10" s="240" t="s">
        <v>29</v>
      </c>
      <c r="C10" s="240" t="s">
        <v>21</v>
      </c>
      <c r="D10" s="201">
        <v>7.4769545920109245E-2</v>
      </c>
      <c r="E10" s="201">
        <v>7.581000314564329E-2</v>
      </c>
      <c r="F10" s="201">
        <v>7.8316953316953319E-2</v>
      </c>
      <c r="G10" s="201">
        <v>6.1681048258229468E-2</v>
      </c>
      <c r="H10" s="201">
        <v>6.1468412066021626E-2</v>
      </c>
      <c r="I10" s="201">
        <v>5.1155115511551157E-2</v>
      </c>
      <c r="J10" s="202">
        <v>5.1522248243559721E-2</v>
      </c>
      <c r="K10" s="240">
        <f t="shared" ref="K10:K50" si="1">IF(J10&lt;J$51,J$51/J10,0)</f>
        <v>0</v>
      </c>
      <c r="L10" s="4">
        <v>1085817.42</v>
      </c>
      <c r="M10" s="241">
        <f t="shared" si="0"/>
        <v>1085817.42</v>
      </c>
    </row>
    <row r="11" spans="1:14" x14ac:dyDescent="0.25">
      <c r="A11" s="240" t="s">
        <v>30</v>
      </c>
      <c r="B11" s="240" t="s">
        <v>31</v>
      </c>
      <c r="C11" s="240" t="s">
        <v>21</v>
      </c>
      <c r="D11" s="201">
        <v>3.2354034957233171E-2</v>
      </c>
      <c r="E11" s="201">
        <v>2.1383227530905446E-2</v>
      </c>
      <c r="F11" s="201">
        <v>2.8244547729710405E-2</v>
      </c>
      <c r="G11" s="201">
        <v>2.6885245901639345E-2</v>
      </c>
      <c r="H11" s="201">
        <v>1.7343045438779049E-2</v>
      </c>
      <c r="I11" s="201">
        <v>1.6416845110635261E-2</v>
      </c>
      <c r="J11" s="202">
        <v>9.4656488549618324E-3</v>
      </c>
      <c r="K11" s="240">
        <f t="shared" si="1"/>
        <v>2.3849197517442646</v>
      </c>
      <c r="L11" s="4">
        <v>71304.66</v>
      </c>
      <c r="M11" s="241">
        <f t="shared" si="0"/>
        <v>170055.89202540921</v>
      </c>
    </row>
    <row r="12" spans="1:14" x14ac:dyDescent="0.25">
      <c r="A12" s="240" t="s">
        <v>32</v>
      </c>
      <c r="B12" s="240" t="s">
        <v>33</v>
      </c>
      <c r="C12" s="240" t="s">
        <v>21</v>
      </c>
      <c r="D12" s="201">
        <v>2.5344597598932858E-2</v>
      </c>
      <c r="E12" s="201">
        <v>1.1051373954599762E-2</v>
      </c>
      <c r="F12" s="201">
        <v>1.6638225255972697E-2</v>
      </c>
      <c r="G12" s="201">
        <v>1.8134715025906734E-2</v>
      </c>
      <c r="H12" s="201">
        <v>1.2879102617366016E-2</v>
      </c>
      <c r="I12" s="201">
        <v>1.7805582290664101E-2</v>
      </c>
      <c r="J12" s="202">
        <v>1.751487111698612E-2</v>
      </c>
      <c r="K12" s="240">
        <f t="shared" si="1"/>
        <v>1.288894035616434</v>
      </c>
      <c r="L12" s="4">
        <v>73405.67</v>
      </c>
      <c r="M12" s="241">
        <f t="shared" si="0"/>
        <v>94612.130243428197</v>
      </c>
    </row>
    <row r="13" spans="1:14" x14ac:dyDescent="0.25">
      <c r="A13" s="240" t="s">
        <v>34</v>
      </c>
      <c r="B13" s="240" t="s">
        <v>35</v>
      </c>
      <c r="C13" s="240" t="s">
        <v>21</v>
      </c>
      <c r="D13" s="201">
        <v>2.5562719149417486E-2</v>
      </c>
      <c r="E13" s="201">
        <v>2.3015182284111788E-2</v>
      </c>
      <c r="F13" s="201">
        <v>2.5415026527468767E-2</v>
      </c>
      <c r="G13" s="201">
        <v>2.9122954259336972E-2</v>
      </c>
      <c r="H13" s="201">
        <v>2.677376171352075E-2</v>
      </c>
      <c r="I13" s="201">
        <v>3.051511758118701E-2</v>
      </c>
      <c r="J13" s="202">
        <v>2.9022259791490562E-2</v>
      </c>
      <c r="K13" s="240">
        <f t="shared" si="1"/>
        <v>0</v>
      </c>
      <c r="L13" s="4">
        <v>2662608.69</v>
      </c>
      <c r="M13" s="241">
        <f t="shared" si="0"/>
        <v>2662608.69</v>
      </c>
    </row>
    <row r="14" spans="1:14" x14ac:dyDescent="0.25">
      <c r="A14" s="240" t="s">
        <v>36</v>
      </c>
      <c r="B14" s="240" t="s">
        <v>37</v>
      </c>
      <c r="C14" s="240" t="s">
        <v>21</v>
      </c>
      <c r="D14" s="201">
        <v>9.6371882086167798E-3</v>
      </c>
      <c r="E14" s="201">
        <v>1.2581547064305684E-2</v>
      </c>
      <c r="F14" s="201">
        <v>1.1611030478955007E-2</v>
      </c>
      <c r="G14" s="201">
        <v>9.2307692307692316E-3</v>
      </c>
      <c r="H14" s="201">
        <v>8.130081300813009E-3</v>
      </c>
      <c r="I14" s="201">
        <v>9.7474523704031892E-3</v>
      </c>
      <c r="J14" s="202">
        <v>9.2833271444485704E-3</v>
      </c>
      <c r="K14" s="240">
        <f t="shared" si="1"/>
        <v>2.4317588474487506</v>
      </c>
      <c r="L14" s="4">
        <v>137148.51</v>
      </c>
      <c r="M14" s="241">
        <f t="shared" si="0"/>
        <v>333512.10260691348</v>
      </c>
    </row>
    <row r="15" spans="1:14" x14ac:dyDescent="0.25">
      <c r="A15" s="240" t="s">
        <v>38</v>
      </c>
      <c r="B15" s="240" t="s">
        <v>39</v>
      </c>
      <c r="C15" s="240" t="s">
        <v>12</v>
      </c>
      <c r="D15" s="201" t="s">
        <v>13</v>
      </c>
      <c r="E15" s="201" t="s">
        <v>13</v>
      </c>
      <c r="F15" s="201" t="s">
        <v>13</v>
      </c>
      <c r="G15" s="201" t="s">
        <v>13</v>
      </c>
      <c r="H15" s="201" t="s">
        <v>13</v>
      </c>
      <c r="I15" s="201" t="s">
        <v>13</v>
      </c>
      <c r="J15" s="202" t="s">
        <v>13</v>
      </c>
      <c r="K15" s="240">
        <f t="shared" si="1"/>
        <v>0</v>
      </c>
      <c r="L15" s="4"/>
      <c r="M15" s="241">
        <f t="shared" si="0"/>
        <v>0</v>
      </c>
    </row>
    <row r="16" spans="1:14" x14ac:dyDescent="0.25">
      <c r="A16" s="240" t="s">
        <v>40</v>
      </c>
      <c r="B16" s="240" t="s">
        <v>41</v>
      </c>
      <c r="C16" s="240" t="s">
        <v>21</v>
      </c>
      <c r="D16" s="201">
        <v>1.2756909992912827E-2</v>
      </c>
      <c r="E16" s="201">
        <v>1.4302981466559226E-2</v>
      </c>
      <c r="F16" s="201">
        <v>9.7333073778469916E-3</v>
      </c>
      <c r="G16" s="201">
        <v>1.2467654669489531E-2</v>
      </c>
      <c r="H16" s="201">
        <v>7.4759000590202632E-3</v>
      </c>
      <c r="I16" s="201">
        <v>6.3229571984435799E-3</v>
      </c>
      <c r="J16" s="202">
        <v>6.3252397469904104E-3</v>
      </c>
      <c r="K16" s="240">
        <f t="shared" si="1"/>
        <v>3.5690051002438601</v>
      </c>
      <c r="L16" s="4">
        <v>82726.87</v>
      </c>
      <c r="M16" s="241">
        <f t="shared" si="0"/>
        <v>295252.62095721078</v>
      </c>
    </row>
    <row r="17" spans="1:14" x14ac:dyDescent="0.25">
      <c r="A17" s="240" t="s">
        <v>42</v>
      </c>
      <c r="B17" s="240" t="s">
        <v>43</v>
      </c>
      <c r="C17" s="240" t="s">
        <v>21</v>
      </c>
      <c r="D17" s="201">
        <v>1.6733067729083666E-2</v>
      </c>
      <c r="E17" s="201">
        <v>1.0159651669085631E-2</v>
      </c>
      <c r="F17" s="201">
        <v>1.1569052783803326E-2</v>
      </c>
      <c r="G17" s="201">
        <v>6.8597560975609756E-3</v>
      </c>
      <c r="H17" s="201">
        <v>4.7086521483225424E-3</v>
      </c>
      <c r="I17" s="201">
        <v>6.0402684563758387E-3</v>
      </c>
      <c r="J17" s="202">
        <v>1.520572450805009E-2</v>
      </c>
      <c r="K17" s="240">
        <f t="shared" si="1"/>
        <v>1.4846259318536636</v>
      </c>
      <c r="L17" s="4">
        <v>1255.3499999999999</v>
      </c>
      <c r="M17" s="241">
        <f t="shared" si="0"/>
        <v>1863.7251635524965</v>
      </c>
    </row>
    <row r="18" spans="1:14" x14ac:dyDescent="0.25">
      <c r="A18" s="240" t="s">
        <v>44</v>
      </c>
      <c r="B18" s="240" t="s">
        <v>45</v>
      </c>
      <c r="C18" s="240" t="s">
        <v>21</v>
      </c>
      <c r="D18" s="201">
        <v>1.282051282051282E-2</v>
      </c>
      <c r="E18" s="201">
        <v>7.3746312684365781E-3</v>
      </c>
      <c r="F18" s="201">
        <v>1.1286681715575621E-2</v>
      </c>
      <c r="G18" s="201">
        <v>1.0172143974960876E-2</v>
      </c>
      <c r="H18" s="201">
        <v>3.0487804878048782E-3</v>
      </c>
      <c r="I18" s="201">
        <v>3.8729666924864447E-3</v>
      </c>
      <c r="J18" s="202">
        <v>4.5766590389016018E-3</v>
      </c>
      <c r="K18" s="240">
        <f t="shared" si="1"/>
        <v>4.9325966224243594</v>
      </c>
      <c r="L18" s="4">
        <v>6496.57</v>
      </c>
      <c r="M18" s="241">
        <f t="shared" si="0"/>
        <v>32044.959239343418</v>
      </c>
    </row>
    <row r="19" spans="1:14" x14ac:dyDescent="0.25">
      <c r="A19" s="240" t="s">
        <v>46</v>
      </c>
      <c r="B19" s="240" t="s">
        <v>47</v>
      </c>
      <c r="C19" s="240" t="s">
        <v>12</v>
      </c>
      <c r="D19" s="201" t="s">
        <v>13</v>
      </c>
      <c r="E19" s="201" t="s">
        <v>13</v>
      </c>
      <c r="F19" s="201" t="s">
        <v>13</v>
      </c>
      <c r="G19" s="201" t="s">
        <v>13</v>
      </c>
      <c r="H19" s="201" t="s">
        <v>13</v>
      </c>
      <c r="I19" s="201" t="s">
        <v>13</v>
      </c>
      <c r="J19" s="202" t="s">
        <v>13</v>
      </c>
      <c r="K19" s="240">
        <f t="shared" si="1"/>
        <v>0</v>
      </c>
      <c r="L19" s="4"/>
      <c r="M19" s="241">
        <f t="shared" si="0"/>
        <v>0</v>
      </c>
    </row>
    <row r="20" spans="1:14" x14ac:dyDescent="0.25">
      <c r="A20" s="240" t="s">
        <v>48</v>
      </c>
      <c r="B20" s="240" t="s">
        <v>49</v>
      </c>
      <c r="C20" s="240" t="s">
        <v>21</v>
      </c>
      <c r="D20" s="201">
        <v>2.1794871794871794E-2</v>
      </c>
      <c r="E20" s="201">
        <v>2.4074074074074074E-2</v>
      </c>
      <c r="F20" s="201">
        <v>2.0174848688634835E-2</v>
      </c>
      <c r="G20" s="201">
        <v>1.3325257419745608E-2</v>
      </c>
      <c r="H20" s="201">
        <v>2.2443890274314215E-2</v>
      </c>
      <c r="I20" s="201">
        <v>1.0451045104510451E-2</v>
      </c>
      <c r="J20" s="202">
        <v>1.3513513513513514E-2</v>
      </c>
      <c r="K20" s="240">
        <f t="shared" si="1"/>
        <v>1.6705361558782728</v>
      </c>
      <c r="L20" s="4">
        <v>22241.09</v>
      </c>
      <c r="M20" s="241">
        <f t="shared" si="0"/>
        <v>37154.544991142691</v>
      </c>
    </row>
    <row r="21" spans="1:14" x14ac:dyDescent="0.25">
      <c r="A21" s="240" t="s">
        <v>50</v>
      </c>
      <c r="B21" s="240" t="s">
        <v>51</v>
      </c>
      <c r="C21" s="240" t="s">
        <v>12</v>
      </c>
      <c r="D21" s="201" t="s">
        <v>13</v>
      </c>
      <c r="E21" s="201" t="s">
        <v>13</v>
      </c>
      <c r="F21" s="201" t="s">
        <v>13</v>
      </c>
      <c r="G21" s="201" t="s">
        <v>13</v>
      </c>
      <c r="H21" s="201" t="s">
        <v>13</v>
      </c>
      <c r="I21" s="201" t="s">
        <v>13</v>
      </c>
      <c r="J21" s="202" t="s">
        <v>13</v>
      </c>
      <c r="K21" s="240">
        <f t="shared" si="1"/>
        <v>0</v>
      </c>
      <c r="L21" s="4"/>
      <c r="M21" s="241">
        <f t="shared" si="0"/>
        <v>0</v>
      </c>
    </row>
    <row r="22" spans="1:14" x14ac:dyDescent="0.25">
      <c r="A22" s="240" t="s">
        <v>52</v>
      </c>
      <c r="B22" s="240" t="s">
        <v>53</v>
      </c>
      <c r="C22" s="240" t="s">
        <v>21</v>
      </c>
      <c r="D22" s="201">
        <v>4.1237113402061855E-2</v>
      </c>
      <c r="E22" s="201">
        <v>4.1297935103244837E-2</v>
      </c>
      <c r="F22" s="201">
        <v>4.1002277904328019E-2</v>
      </c>
      <c r="G22" s="201">
        <v>3.6585365853658534E-2</v>
      </c>
      <c r="H22" s="201">
        <v>2.5369978858350951E-2</v>
      </c>
      <c r="I22" s="201">
        <v>1.6528925619834711E-2</v>
      </c>
      <c r="J22" s="202">
        <v>1.7191977077363897E-2</v>
      </c>
      <c r="K22" s="240">
        <f t="shared" si="1"/>
        <v>1.3131016180214352</v>
      </c>
      <c r="L22" s="4">
        <v>4196.8</v>
      </c>
      <c r="M22" s="241">
        <f t="shared" si="0"/>
        <v>5510.8248705123597</v>
      </c>
    </row>
    <row r="23" spans="1:14" x14ac:dyDescent="0.25">
      <c r="A23" s="240" t="s">
        <v>54</v>
      </c>
      <c r="B23" s="240" t="s">
        <v>55</v>
      </c>
      <c r="C23" s="240" t="s">
        <v>21</v>
      </c>
      <c r="D23" s="201">
        <v>2.3541114058355437E-2</v>
      </c>
      <c r="E23" s="201">
        <v>2.5308310991957104E-2</v>
      </c>
      <c r="F23" s="201">
        <v>3.0616942909760591E-2</v>
      </c>
      <c r="G23" s="201">
        <v>3.0324688584847867E-2</v>
      </c>
      <c r="H23" s="201">
        <v>2.3399014778325122E-2</v>
      </c>
      <c r="I23" s="201">
        <v>2.227943360728785E-2</v>
      </c>
      <c r="J23" s="202">
        <v>1.9055868341273277E-2</v>
      </c>
      <c r="K23" s="240">
        <f t="shared" si="1"/>
        <v>1.1846646142269448</v>
      </c>
      <c r="L23" s="4">
        <v>796878.58</v>
      </c>
      <c r="M23" s="241">
        <f t="shared" si="0"/>
        <v>944033.85556141555</v>
      </c>
    </row>
    <row r="24" spans="1:14" x14ac:dyDescent="0.25">
      <c r="A24" s="240" t="s">
        <v>56</v>
      </c>
      <c r="B24" s="240" t="s">
        <v>57</v>
      </c>
      <c r="C24" s="240" t="s">
        <v>21</v>
      </c>
      <c r="D24" s="201">
        <v>1.3629283489096573E-2</v>
      </c>
      <c r="E24" s="201">
        <v>1.3184178985217739E-2</v>
      </c>
      <c r="F24" s="201">
        <v>1.2792236435818262E-2</v>
      </c>
      <c r="G24" s="201">
        <v>1.3053613053613054E-2</v>
      </c>
      <c r="H24" s="201">
        <v>8.6992543496271744E-3</v>
      </c>
      <c r="I24" s="201">
        <v>1.3856812933025405E-2</v>
      </c>
      <c r="J24" s="202">
        <v>1.6897081413210446E-2</v>
      </c>
      <c r="K24" s="240">
        <f t="shared" si="1"/>
        <v>1.3360184735586678</v>
      </c>
      <c r="L24" s="4">
        <v>105095.86</v>
      </c>
      <c r="M24" s="241">
        <f t="shared" si="0"/>
        <v>140410.01045453546</v>
      </c>
    </row>
    <row r="25" spans="1:14" x14ac:dyDescent="0.25">
      <c r="A25" s="240" t="s">
        <v>58</v>
      </c>
      <c r="B25" s="240" t="s">
        <v>59</v>
      </c>
      <c r="C25" s="240" t="s">
        <v>21</v>
      </c>
      <c r="D25" s="201">
        <v>1.3986013986013986E-2</v>
      </c>
      <c r="E25" s="201">
        <v>3.7499999999999999E-2</v>
      </c>
      <c r="F25" s="201">
        <v>3.614457831325301E-2</v>
      </c>
      <c r="G25" s="201">
        <v>1.8292682926829267E-2</v>
      </c>
      <c r="H25" s="201">
        <v>3.4013605442176874E-2</v>
      </c>
      <c r="I25" s="201">
        <v>4.8275862068965517E-2</v>
      </c>
      <c r="J25" s="202">
        <v>5.2083333333333336E-2</v>
      </c>
      <c r="K25" s="240">
        <f t="shared" si="1"/>
        <v>0</v>
      </c>
      <c r="L25" s="4">
        <v>45187.82</v>
      </c>
      <c r="M25" s="241">
        <f t="shared" si="0"/>
        <v>45187.82</v>
      </c>
    </row>
    <row r="26" spans="1:14" x14ac:dyDescent="0.25">
      <c r="A26" s="240" t="s">
        <v>60</v>
      </c>
      <c r="B26" s="240" t="s">
        <v>61</v>
      </c>
      <c r="C26" s="240" t="s">
        <v>21</v>
      </c>
      <c r="D26" s="201">
        <v>3.0676838175620842E-2</v>
      </c>
      <c r="E26" s="201">
        <v>2.7079303675048357E-2</v>
      </c>
      <c r="F26" s="201">
        <v>3.3425279896154472E-2</v>
      </c>
      <c r="G26" s="201">
        <v>3.200624512099922E-2</v>
      </c>
      <c r="H26" s="201">
        <v>2.7143472641102971E-2</v>
      </c>
      <c r="I26" s="201">
        <v>2.4214020699082212E-2</v>
      </c>
      <c r="J26" s="202">
        <v>2.5518634110519554E-2</v>
      </c>
      <c r="K26" s="240">
        <f t="shared" si="1"/>
        <v>0</v>
      </c>
      <c r="L26" s="4">
        <v>850771.88</v>
      </c>
      <c r="M26" s="241">
        <f t="shared" si="0"/>
        <v>850771.88</v>
      </c>
    </row>
    <row r="27" spans="1:14" x14ac:dyDescent="0.25">
      <c r="A27" s="240" t="s">
        <v>62</v>
      </c>
      <c r="B27" s="240" t="s">
        <v>63</v>
      </c>
      <c r="C27" s="240" t="s">
        <v>21</v>
      </c>
      <c r="D27" s="201">
        <v>5.3866302243480241E-2</v>
      </c>
      <c r="E27" s="201">
        <v>5.8193979933110367E-2</v>
      </c>
      <c r="F27" s="201">
        <v>4.5765563656758275E-2</v>
      </c>
      <c r="G27" s="201">
        <v>5.0988553590010408E-2</v>
      </c>
      <c r="H27" s="201">
        <v>4.9295089936801165E-2</v>
      </c>
      <c r="I27" s="201">
        <v>4.8323054828081441E-2</v>
      </c>
      <c r="J27" s="202">
        <v>4.7563534623455347E-2</v>
      </c>
      <c r="K27" s="240">
        <f t="shared" si="1"/>
        <v>0</v>
      </c>
      <c r="L27" s="4">
        <v>7268312.8600000003</v>
      </c>
      <c r="M27" s="241">
        <f t="shared" si="0"/>
        <v>7268312.8600000003</v>
      </c>
    </row>
    <row r="28" spans="1:14" x14ac:dyDescent="0.25">
      <c r="A28" s="240" t="s">
        <v>64</v>
      </c>
      <c r="B28" s="240" t="s">
        <v>65</v>
      </c>
      <c r="C28" s="240" t="s">
        <v>21</v>
      </c>
      <c r="D28" s="201">
        <v>8.6413187981919694E-3</v>
      </c>
      <c r="E28" s="201">
        <v>1.4473089099954772E-2</v>
      </c>
      <c r="F28" s="201">
        <v>9.7799511002444987E-3</v>
      </c>
      <c r="G28" s="201">
        <v>9.5541401273885346E-3</v>
      </c>
      <c r="H28" s="201">
        <v>6.425817506782807E-3</v>
      </c>
      <c r="I28" s="201">
        <v>8.4110720293622872E-3</v>
      </c>
      <c r="J28" s="202">
        <v>7.1953459889773424E-3</v>
      </c>
      <c r="K28" s="240">
        <f t="shared" si="1"/>
        <v>3.1374186803326274</v>
      </c>
      <c r="L28" s="4">
        <v>292481.76</v>
      </c>
      <c r="M28" s="241">
        <f t="shared" si="0"/>
        <v>917637.73748056428</v>
      </c>
    </row>
    <row r="29" spans="1:14" x14ac:dyDescent="0.25">
      <c r="A29" s="240" t="s">
        <v>66</v>
      </c>
      <c r="B29" s="240" t="s">
        <v>67</v>
      </c>
      <c r="C29" s="240" t="s">
        <v>21</v>
      </c>
      <c r="D29" s="201">
        <v>9.1743119266055051E-3</v>
      </c>
      <c r="E29" s="201"/>
      <c r="F29" s="201"/>
      <c r="G29" s="201"/>
      <c r="H29" s="201"/>
      <c r="I29" s="201"/>
      <c r="J29" s="202"/>
      <c r="K29" s="240" t="e">
        <f t="shared" si="1"/>
        <v>#DIV/0!</v>
      </c>
      <c r="L29" s="4"/>
      <c r="M29" s="241">
        <v>0</v>
      </c>
    </row>
    <row r="30" spans="1:14" x14ac:dyDescent="0.25">
      <c r="A30" s="236" t="s">
        <v>68</v>
      </c>
      <c r="B30" s="236" t="s">
        <v>69</v>
      </c>
      <c r="C30" s="236" t="s">
        <v>12</v>
      </c>
      <c r="D30" s="205" t="s">
        <v>13</v>
      </c>
      <c r="E30" s="205" t="s">
        <v>13</v>
      </c>
      <c r="F30" s="205" t="s">
        <v>13</v>
      </c>
      <c r="G30" s="205" t="s">
        <v>13</v>
      </c>
      <c r="H30" s="205" t="s">
        <v>13</v>
      </c>
      <c r="I30" s="205" t="s">
        <v>13</v>
      </c>
      <c r="J30" s="202" t="s">
        <v>13</v>
      </c>
      <c r="K30" s="240">
        <f t="shared" si="1"/>
        <v>0</v>
      </c>
      <c r="L30" s="4"/>
      <c r="M30" s="4">
        <f t="shared" si="0"/>
        <v>0</v>
      </c>
    </row>
    <row r="31" spans="1:14" s="197" customFormat="1" x14ac:dyDescent="0.25">
      <c r="A31" s="271" t="s">
        <v>70</v>
      </c>
      <c r="B31" s="271" t="s">
        <v>602</v>
      </c>
      <c r="C31" s="271" t="s">
        <v>21</v>
      </c>
      <c r="D31" s="272">
        <v>3.3077180086869364E-2</v>
      </c>
      <c r="E31" s="272">
        <v>2.5954764553207266E-2</v>
      </c>
      <c r="F31" s="272">
        <v>2.500880591757661E-2</v>
      </c>
      <c r="G31" s="272">
        <v>1.6365496079099897E-2</v>
      </c>
      <c r="H31" s="272">
        <v>2.6089828269484808E-2</v>
      </c>
      <c r="I31" s="272">
        <v>2.1395655036208033E-2</v>
      </c>
      <c r="J31" s="273"/>
      <c r="K31" s="240" t="e">
        <f t="shared" si="1"/>
        <v>#DIV/0!</v>
      </c>
      <c r="L31" s="4">
        <v>0</v>
      </c>
      <c r="M31" s="198">
        <v>0</v>
      </c>
      <c r="N31" s="197" t="s">
        <v>612</v>
      </c>
    </row>
    <row r="32" spans="1:14" x14ac:dyDescent="0.25">
      <c r="A32" s="236" t="s">
        <v>71</v>
      </c>
      <c r="B32" s="236" t="s">
        <v>72</v>
      </c>
      <c r="C32" s="236" t="s">
        <v>21</v>
      </c>
      <c r="D32" s="205">
        <v>3.2975800017728922E-2</v>
      </c>
      <c r="E32" s="205">
        <v>4.7549777252477499E-2</v>
      </c>
      <c r="F32" s="205">
        <v>4.2898499868409511E-2</v>
      </c>
      <c r="G32" s="205">
        <v>3.6703902509792545E-2</v>
      </c>
      <c r="H32" s="205">
        <v>4.0270644819434258E-2</v>
      </c>
      <c r="I32" s="205">
        <v>3.2807003190706049E-2</v>
      </c>
      <c r="J32" s="202">
        <v>3.3505154639175257E-2</v>
      </c>
      <c r="K32" s="240">
        <f t="shared" si="1"/>
        <v>0</v>
      </c>
      <c r="L32" s="4">
        <v>3805669.42</v>
      </c>
      <c r="M32" s="4">
        <f t="shared" si="0"/>
        <v>3805669.42</v>
      </c>
    </row>
    <row r="33" spans="1:13" s="94" customFormat="1" x14ac:dyDescent="0.25">
      <c r="A33" s="240" t="s">
        <v>73</v>
      </c>
      <c r="B33" s="240" t="s">
        <v>74</v>
      </c>
      <c r="C33" s="240" t="s">
        <v>21</v>
      </c>
      <c r="D33" s="201">
        <v>3.0075187969924814E-3</v>
      </c>
      <c r="E33" s="201">
        <v>1.199040767386091E-3</v>
      </c>
      <c r="F33" s="201">
        <v>3.8363171355498722E-3</v>
      </c>
      <c r="G33" s="201">
        <v>9.8452883263009851E-3</v>
      </c>
      <c r="H33" s="201">
        <v>3.7593984962406013E-3</v>
      </c>
      <c r="I33" s="201">
        <v>1.3513513513513514E-3</v>
      </c>
      <c r="J33" s="202"/>
      <c r="K33" s="240">
        <v>0</v>
      </c>
      <c r="L33" s="4">
        <v>0</v>
      </c>
      <c r="M33" s="241">
        <v>0</v>
      </c>
    </row>
    <row r="34" spans="1:13" x14ac:dyDescent="0.25">
      <c r="A34" s="236" t="s">
        <v>75</v>
      </c>
      <c r="B34" s="236" t="s">
        <v>76</v>
      </c>
      <c r="C34" s="236" t="s">
        <v>16</v>
      </c>
      <c r="D34" s="205" t="s">
        <v>13</v>
      </c>
      <c r="E34" s="205" t="s">
        <v>13</v>
      </c>
      <c r="F34" s="205" t="s">
        <v>13</v>
      </c>
      <c r="G34" s="205" t="s">
        <v>13</v>
      </c>
      <c r="H34" s="205" t="s">
        <v>13</v>
      </c>
      <c r="I34" s="205" t="s">
        <v>13</v>
      </c>
      <c r="J34" s="202" t="s">
        <v>13</v>
      </c>
      <c r="K34" s="240">
        <f t="shared" si="1"/>
        <v>0</v>
      </c>
      <c r="L34" s="4"/>
      <c r="M34" s="4">
        <f t="shared" si="0"/>
        <v>0</v>
      </c>
    </row>
    <row r="35" spans="1:13" x14ac:dyDescent="0.25">
      <c r="A35" s="236" t="s">
        <v>77</v>
      </c>
      <c r="B35" s="236" t="s">
        <v>78</v>
      </c>
      <c r="C35" s="236" t="s">
        <v>16</v>
      </c>
      <c r="D35" s="205" t="s">
        <v>13</v>
      </c>
      <c r="E35" s="205" t="s">
        <v>13</v>
      </c>
      <c r="F35" s="205" t="s">
        <v>13</v>
      </c>
      <c r="G35" s="205" t="s">
        <v>13</v>
      </c>
      <c r="H35" s="205" t="s">
        <v>13</v>
      </c>
      <c r="I35" s="205" t="s">
        <v>13</v>
      </c>
      <c r="J35" s="202" t="s">
        <v>13</v>
      </c>
      <c r="K35" s="240">
        <f t="shared" si="1"/>
        <v>0</v>
      </c>
      <c r="L35" s="4"/>
      <c r="M35" s="4">
        <f t="shared" si="0"/>
        <v>0</v>
      </c>
    </row>
    <row r="36" spans="1:13" x14ac:dyDescent="0.25">
      <c r="A36" s="236" t="s">
        <v>79</v>
      </c>
      <c r="B36" s="236" t="s">
        <v>80</v>
      </c>
      <c r="C36" s="236" t="s">
        <v>16</v>
      </c>
      <c r="D36" s="205" t="s">
        <v>13</v>
      </c>
      <c r="E36" s="205" t="s">
        <v>13</v>
      </c>
      <c r="F36" s="205" t="s">
        <v>13</v>
      </c>
      <c r="G36" s="205" t="s">
        <v>13</v>
      </c>
      <c r="H36" s="205" t="s">
        <v>13</v>
      </c>
      <c r="I36" s="205" t="s">
        <v>13</v>
      </c>
      <c r="J36" s="202" t="s">
        <v>13</v>
      </c>
      <c r="K36" s="240">
        <f t="shared" si="1"/>
        <v>0</v>
      </c>
      <c r="L36" s="4"/>
      <c r="M36" s="4">
        <f t="shared" si="0"/>
        <v>0</v>
      </c>
    </row>
    <row r="37" spans="1:13" x14ac:dyDescent="0.25">
      <c r="A37" s="236" t="s">
        <v>81</v>
      </c>
      <c r="B37" s="236" t="s">
        <v>82</v>
      </c>
      <c r="C37" s="236" t="s">
        <v>16</v>
      </c>
      <c r="D37" s="205" t="s">
        <v>13</v>
      </c>
      <c r="E37" s="205" t="s">
        <v>13</v>
      </c>
      <c r="F37" s="205" t="s">
        <v>13</v>
      </c>
      <c r="G37" s="205" t="s">
        <v>13</v>
      </c>
      <c r="H37" s="205" t="s">
        <v>13</v>
      </c>
      <c r="I37" s="205" t="s">
        <v>13</v>
      </c>
      <c r="J37" s="202" t="s">
        <v>13</v>
      </c>
      <c r="K37" s="240">
        <f t="shared" si="1"/>
        <v>0</v>
      </c>
      <c r="L37" s="4"/>
      <c r="M37" s="4">
        <f t="shared" si="0"/>
        <v>0</v>
      </c>
    </row>
    <row r="38" spans="1:13" x14ac:dyDescent="0.25">
      <c r="A38" s="236" t="s">
        <v>83</v>
      </c>
      <c r="B38" s="236" t="s">
        <v>84</v>
      </c>
      <c r="C38" s="236" t="s">
        <v>16</v>
      </c>
      <c r="D38" s="205" t="s">
        <v>13</v>
      </c>
      <c r="E38" s="205" t="s">
        <v>13</v>
      </c>
      <c r="F38" s="205" t="s">
        <v>13</v>
      </c>
      <c r="G38" s="205" t="s">
        <v>13</v>
      </c>
      <c r="H38" s="205" t="s">
        <v>13</v>
      </c>
      <c r="I38" s="205" t="s">
        <v>13</v>
      </c>
      <c r="J38" s="202" t="s">
        <v>13</v>
      </c>
      <c r="K38" s="240">
        <f t="shared" si="1"/>
        <v>0</v>
      </c>
      <c r="L38" s="4"/>
      <c r="M38" s="4">
        <f t="shared" si="0"/>
        <v>0</v>
      </c>
    </row>
    <row r="39" spans="1:13" x14ac:dyDescent="0.25">
      <c r="A39" s="236" t="s">
        <v>85</v>
      </c>
      <c r="B39" s="236" t="s">
        <v>86</v>
      </c>
      <c r="C39" s="236" t="s">
        <v>12</v>
      </c>
      <c r="D39" s="205" t="s">
        <v>13</v>
      </c>
      <c r="E39" s="205" t="s">
        <v>13</v>
      </c>
      <c r="F39" s="205" t="s">
        <v>13</v>
      </c>
      <c r="G39" s="205" t="s">
        <v>13</v>
      </c>
      <c r="H39" s="205" t="s">
        <v>13</v>
      </c>
      <c r="I39" s="205" t="s">
        <v>13</v>
      </c>
      <c r="J39" s="202" t="s">
        <v>13</v>
      </c>
      <c r="K39" s="240">
        <f t="shared" si="1"/>
        <v>0</v>
      </c>
      <c r="L39" s="4"/>
      <c r="M39" s="4">
        <f t="shared" si="0"/>
        <v>0</v>
      </c>
    </row>
    <row r="40" spans="1:13" x14ac:dyDescent="0.25">
      <c r="A40" s="236" t="s">
        <v>87</v>
      </c>
      <c r="B40" s="236" t="s">
        <v>88</v>
      </c>
      <c r="C40" s="236" t="s">
        <v>16</v>
      </c>
      <c r="D40" s="205" t="s">
        <v>13</v>
      </c>
      <c r="E40" s="205" t="s">
        <v>13</v>
      </c>
      <c r="F40" s="205" t="s">
        <v>13</v>
      </c>
      <c r="G40" s="205" t="s">
        <v>13</v>
      </c>
      <c r="H40" s="205" t="s">
        <v>13</v>
      </c>
      <c r="I40" s="205" t="s">
        <v>13</v>
      </c>
      <c r="J40" s="202" t="s">
        <v>13</v>
      </c>
      <c r="K40" s="240">
        <f t="shared" si="1"/>
        <v>0</v>
      </c>
      <c r="L40" s="4"/>
      <c r="M40" s="4">
        <f t="shared" si="0"/>
        <v>0</v>
      </c>
    </row>
    <row r="41" spans="1:13" x14ac:dyDescent="0.25">
      <c r="A41" s="236" t="s">
        <v>89</v>
      </c>
      <c r="B41" s="236" t="s">
        <v>90</v>
      </c>
      <c r="C41" s="236" t="s">
        <v>16</v>
      </c>
      <c r="D41" s="205" t="s">
        <v>13</v>
      </c>
      <c r="E41" s="205" t="s">
        <v>13</v>
      </c>
      <c r="F41" s="205" t="s">
        <v>13</v>
      </c>
      <c r="G41" s="205" t="s">
        <v>13</v>
      </c>
      <c r="H41" s="205" t="s">
        <v>13</v>
      </c>
      <c r="I41" s="205" t="s">
        <v>13</v>
      </c>
      <c r="J41" s="202" t="s">
        <v>13</v>
      </c>
      <c r="K41" s="240">
        <f t="shared" si="1"/>
        <v>0</v>
      </c>
      <c r="L41" s="4"/>
      <c r="M41" s="4">
        <f t="shared" si="0"/>
        <v>0</v>
      </c>
    </row>
    <row r="42" spans="1:13" x14ac:dyDescent="0.25">
      <c r="A42" s="236" t="s">
        <v>91</v>
      </c>
      <c r="B42" s="236" t="s">
        <v>92</v>
      </c>
      <c r="C42" s="236" t="s">
        <v>12</v>
      </c>
      <c r="D42" s="205" t="s">
        <v>13</v>
      </c>
      <c r="E42" s="205" t="s">
        <v>13</v>
      </c>
      <c r="F42" s="205" t="s">
        <v>13</v>
      </c>
      <c r="G42" s="205" t="s">
        <v>13</v>
      </c>
      <c r="H42" s="205" t="s">
        <v>13</v>
      </c>
      <c r="I42" s="205" t="s">
        <v>13</v>
      </c>
      <c r="J42" s="202" t="s">
        <v>13</v>
      </c>
      <c r="K42" s="240">
        <f t="shared" si="1"/>
        <v>0</v>
      </c>
      <c r="L42" s="4"/>
      <c r="M42" s="4">
        <f t="shared" si="0"/>
        <v>0</v>
      </c>
    </row>
    <row r="43" spans="1:13" x14ac:dyDescent="0.25">
      <c r="A43" s="236" t="s">
        <v>93</v>
      </c>
      <c r="B43" s="236" t="s">
        <v>94</v>
      </c>
      <c r="C43" s="236" t="s">
        <v>16</v>
      </c>
      <c r="D43" s="205" t="s">
        <v>13</v>
      </c>
      <c r="E43" s="205" t="s">
        <v>13</v>
      </c>
      <c r="F43" s="205" t="s">
        <v>13</v>
      </c>
      <c r="G43" s="205" t="s">
        <v>13</v>
      </c>
      <c r="H43" s="205" t="s">
        <v>13</v>
      </c>
      <c r="I43" s="205" t="s">
        <v>13</v>
      </c>
      <c r="J43" s="202" t="s">
        <v>13</v>
      </c>
      <c r="K43" s="240">
        <f t="shared" si="1"/>
        <v>0</v>
      </c>
      <c r="L43" s="4"/>
      <c r="M43" s="4">
        <f t="shared" si="0"/>
        <v>0</v>
      </c>
    </row>
    <row r="44" spans="1:13" x14ac:dyDescent="0.25">
      <c r="A44" s="236" t="s">
        <v>95</v>
      </c>
      <c r="B44" s="236" t="s">
        <v>96</v>
      </c>
      <c r="C44" s="236" t="s">
        <v>16</v>
      </c>
      <c r="D44" s="205" t="s">
        <v>13</v>
      </c>
      <c r="E44" s="205" t="s">
        <v>13</v>
      </c>
      <c r="F44" s="205" t="s">
        <v>13</v>
      </c>
      <c r="G44" s="205" t="s">
        <v>13</v>
      </c>
      <c r="H44" s="205" t="s">
        <v>13</v>
      </c>
      <c r="I44" s="205" t="s">
        <v>13</v>
      </c>
      <c r="J44" s="202" t="s">
        <v>13</v>
      </c>
      <c r="K44" s="240">
        <f t="shared" si="1"/>
        <v>0</v>
      </c>
      <c r="L44" s="4"/>
      <c r="M44" s="4">
        <f t="shared" si="0"/>
        <v>0</v>
      </c>
    </row>
    <row r="45" spans="1:13" x14ac:dyDescent="0.25">
      <c r="A45" s="236" t="s">
        <v>97</v>
      </c>
      <c r="B45" s="236" t="s">
        <v>98</v>
      </c>
      <c r="C45" s="236" t="s">
        <v>16</v>
      </c>
      <c r="D45" s="205" t="s">
        <v>13</v>
      </c>
      <c r="E45" s="205" t="s">
        <v>13</v>
      </c>
      <c r="F45" s="205" t="s">
        <v>13</v>
      </c>
      <c r="G45" s="205" t="s">
        <v>13</v>
      </c>
      <c r="H45" s="205" t="s">
        <v>13</v>
      </c>
      <c r="I45" s="205" t="s">
        <v>13</v>
      </c>
      <c r="J45" s="202" t="s">
        <v>13</v>
      </c>
      <c r="K45" s="240">
        <f t="shared" si="1"/>
        <v>0</v>
      </c>
      <c r="L45" s="4"/>
      <c r="M45" s="4">
        <f t="shared" si="0"/>
        <v>0</v>
      </c>
    </row>
    <row r="46" spans="1:13" x14ac:dyDescent="0.25">
      <c r="A46" s="236" t="s">
        <v>99</v>
      </c>
      <c r="B46" s="236" t="s">
        <v>100</v>
      </c>
      <c r="C46" s="236" t="s">
        <v>12</v>
      </c>
      <c r="D46" s="205" t="s">
        <v>13</v>
      </c>
      <c r="E46" s="205" t="s">
        <v>13</v>
      </c>
      <c r="F46" s="205" t="s">
        <v>13</v>
      </c>
      <c r="G46" s="205" t="s">
        <v>13</v>
      </c>
      <c r="H46" s="205" t="s">
        <v>13</v>
      </c>
      <c r="I46" s="205" t="s">
        <v>13</v>
      </c>
      <c r="J46" s="202" t="s">
        <v>13</v>
      </c>
      <c r="K46" s="240">
        <f t="shared" si="1"/>
        <v>0</v>
      </c>
      <c r="L46" s="4"/>
      <c r="M46" s="4">
        <f t="shared" si="0"/>
        <v>0</v>
      </c>
    </row>
    <row r="47" spans="1:13" x14ac:dyDescent="0.25">
      <c r="A47" s="236" t="s">
        <v>101</v>
      </c>
      <c r="B47" s="236" t="s">
        <v>102</v>
      </c>
      <c r="C47" s="236" t="s">
        <v>21</v>
      </c>
      <c r="D47" s="205">
        <v>1.2881965248651888E-2</v>
      </c>
      <c r="E47" s="205">
        <v>1.9540229885057471E-2</v>
      </c>
      <c r="F47" s="205">
        <v>2.7374301675977653E-2</v>
      </c>
      <c r="G47" s="205">
        <v>3.0201342281879196E-2</v>
      </c>
      <c r="H47" s="205">
        <v>2.7963057978450487E-2</v>
      </c>
      <c r="I47" s="205">
        <v>3.3373063170441003E-2</v>
      </c>
      <c r="J47" s="202">
        <v>3.4172103137620376E-2</v>
      </c>
      <c r="K47" s="240">
        <f t="shared" si="1"/>
        <v>0</v>
      </c>
      <c r="L47" s="4">
        <v>1780197.92</v>
      </c>
      <c r="M47" s="4">
        <f t="shared" si="0"/>
        <v>1780197.92</v>
      </c>
    </row>
    <row r="48" spans="1:13" x14ac:dyDescent="0.25">
      <c r="A48" s="236" t="s">
        <v>103</v>
      </c>
      <c r="B48" s="236" t="s">
        <v>104</v>
      </c>
      <c r="C48" s="236" t="s">
        <v>12</v>
      </c>
      <c r="D48" s="205" t="s">
        <v>13</v>
      </c>
      <c r="E48" s="205" t="s">
        <v>13</v>
      </c>
      <c r="F48" s="205" t="s">
        <v>13</v>
      </c>
      <c r="G48" s="205" t="s">
        <v>13</v>
      </c>
      <c r="H48" s="205" t="s">
        <v>13</v>
      </c>
      <c r="I48" s="205" t="s">
        <v>13</v>
      </c>
      <c r="J48" s="202" t="s">
        <v>13</v>
      </c>
      <c r="K48" s="240">
        <f t="shared" si="1"/>
        <v>0</v>
      </c>
      <c r="L48" s="4"/>
      <c r="M48" s="4">
        <f t="shared" si="0"/>
        <v>0</v>
      </c>
    </row>
    <row r="49" spans="1:13" x14ac:dyDescent="0.25">
      <c r="A49" s="236" t="s">
        <v>105</v>
      </c>
      <c r="B49" s="236" t="s">
        <v>106</v>
      </c>
      <c r="C49" s="236" t="s">
        <v>16</v>
      </c>
      <c r="D49" s="205" t="s">
        <v>13</v>
      </c>
      <c r="E49" s="205" t="s">
        <v>13</v>
      </c>
      <c r="F49" s="205" t="s">
        <v>13</v>
      </c>
      <c r="G49" s="205" t="s">
        <v>13</v>
      </c>
      <c r="H49" s="205" t="s">
        <v>13</v>
      </c>
      <c r="I49" s="205" t="s">
        <v>13</v>
      </c>
      <c r="J49" s="202" t="s">
        <v>13</v>
      </c>
      <c r="K49" s="240">
        <f t="shared" si="1"/>
        <v>0</v>
      </c>
      <c r="L49" s="4"/>
      <c r="M49" s="4">
        <f t="shared" si="0"/>
        <v>0</v>
      </c>
    </row>
    <row r="50" spans="1:13" s="94" customFormat="1" x14ac:dyDescent="0.25">
      <c r="A50" s="240" t="s">
        <v>107</v>
      </c>
      <c r="B50" s="240" t="s">
        <v>108</v>
      </c>
      <c r="C50" s="240" t="s">
        <v>21</v>
      </c>
      <c r="D50" s="201">
        <v>1.7684887459807074E-2</v>
      </c>
      <c r="E50" s="201">
        <v>9.5999999999999992E-3</v>
      </c>
      <c r="F50" s="201">
        <v>3.9254170755642784E-3</v>
      </c>
      <c r="G50" s="201">
        <v>2.9702970297029703E-3</v>
      </c>
      <c r="H50" s="201">
        <v>8.5984522785898538E-3</v>
      </c>
      <c r="I50" s="201">
        <v>1.1329305135951661E-2</v>
      </c>
      <c r="J50" s="202">
        <v>1.6648168701442843E-2</v>
      </c>
      <c r="K50" s="240">
        <f t="shared" si="1"/>
        <v>1.3559937625642555</v>
      </c>
      <c r="L50" s="274">
        <v>172545.96</v>
      </c>
      <c r="M50" s="241">
        <f t="shared" si="0"/>
        <v>233971.24551566152</v>
      </c>
    </row>
    <row r="51" spans="1:13" x14ac:dyDescent="0.25">
      <c r="A51" s="236"/>
      <c r="B51" s="236"/>
      <c r="C51" s="236"/>
      <c r="D51" s="236"/>
      <c r="E51" s="236"/>
      <c r="F51" s="236"/>
      <c r="G51" s="236"/>
      <c r="H51" s="236" t="s">
        <v>109</v>
      </c>
      <c r="I51" s="205">
        <f>AVERAGE(I6,I8:I14,I16:I18,I20,I22:I28,I31:I33,I47,I50)</f>
        <v>2.4153141169512917E-2</v>
      </c>
      <c r="J51" s="205">
        <f>AVERAGE(J3:J50)</f>
        <v>2.2574812917273958E-2</v>
      </c>
      <c r="K51" s="236" t="s">
        <v>610</v>
      </c>
      <c r="L51" s="4">
        <f>SUM(L3:L50)</f>
        <v>22711774.100000001</v>
      </c>
      <c r="M51" s="4">
        <f>SUM(M3:M50)</f>
        <v>21504863.414759751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zoomScale="90" zoomScaleNormal="90" workbookViewId="0">
      <selection activeCell="K5" sqref="K5"/>
    </sheetView>
  </sheetViews>
  <sheetFormatPr defaultRowHeight="15" x14ac:dyDescent="0.25"/>
  <cols>
    <col min="2" max="2" width="21.85546875" bestFit="1" customWidth="1"/>
    <col min="3" max="3" width="12" bestFit="1" customWidth="1"/>
    <col min="11" max="11" width="16.85546875" bestFit="1" customWidth="1"/>
    <col min="12" max="12" width="15" bestFit="1" customWidth="1"/>
    <col min="13" max="13" width="13.5703125" bestFit="1" customWidth="1"/>
  </cols>
  <sheetData>
    <row r="1" spans="1:14" x14ac:dyDescent="0.25">
      <c r="A1" s="98" t="s">
        <v>0</v>
      </c>
      <c r="B1" s="98" t="s">
        <v>1</v>
      </c>
      <c r="C1" s="98" t="s">
        <v>2</v>
      </c>
      <c r="D1" s="98"/>
      <c r="E1" t="s">
        <v>3</v>
      </c>
      <c r="F1" s="98"/>
    </row>
    <row r="2" spans="1:14" x14ac:dyDescent="0.25">
      <c r="D2" s="99" t="s">
        <v>4</v>
      </c>
      <c r="E2" s="99" t="s">
        <v>5</v>
      </c>
      <c r="F2" s="99" t="s">
        <v>6</v>
      </c>
      <c r="G2" s="99" t="s">
        <v>7</v>
      </c>
      <c r="H2" s="99" t="s">
        <v>8</v>
      </c>
      <c r="I2" s="99" t="s">
        <v>600</v>
      </c>
      <c r="J2" s="99" t="s">
        <v>613</v>
      </c>
      <c r="K2" s="1" t="s">
        <v>9</v>
      </c>
      <c r="L2" s="1" t="s">
        <v>617</v>
      </c>
      <c r="M2" s="1" t="s">
        <v>609</v>
      </c>
      <c r="N2" s="1" t="s">
        <v>593</v>
      </c>
    </row>
    <row r="3" spans="1:14" x14ac:dyDescent="0.25">
      <c r="A3" s="95" t="s">
        <v>110</v>
      </c>
      <c r="B3" s="95" t="s">
        <v>111</v>
      </c>
      <c r="C3" s="95" t="s">
        <v>21</v>
      </c>
      <c r="D3" s="201">
        <v>5.0352467270896274E-3</v>
      </c>
      <c r="E3" s="201">
        <v>3.3783783783783786E-3</v>
      </c>
      <c r="F3" s="201">
        <v>5.1254383598597249E-3</v>
      </c>
      <c r="G3" s="201">
        <v>3.440063508864779E-3</v>
      </c>
      <c r="H3" s="201">
        <v>4.860578152980302E-3</v>
      </c>
      <c r="I3" s="201">
        <v>4.4455421091627563E-3</v>
      </c>
      <c r="J3" s="202">
        <v>6.3589260480452188E-3</v>
      </c>
      <c r="K3" s="95">
        <f>IF(J3&lt;J$32,J$32/J3,0)</f>
        <v>2.2068351681575615</v>
      </c>
      <c r="L3" s="96">
        <f>VLOOKUP(A3,'IP Collections'!B$115:K$142,10,FALSE)</f>
        <v>116204.17</v>
      </c>
      <c r="M3" s="96">
        <f t="shared" ref="M3:M31" si="0">IF(K3&gt;0,L3*K3,L3)</f>
        <v>256443.44904255986</v>
      </c>
    </row>
    <row r="4" spans="1:14" x14ac:dyDescent="0.25">
      <c r="A4" s="95" t="s">
        <v>112</v>
      </c>
      <c r="B4" s="95" t="s">
        <v>113</v>
      </c>
      <c r="C4" s="95" t="s">
        <v>21</v>
      </c>
      <c r="D4" s="201">
        <v>1.3948497854077254E-2</v>
      </c>
      <c r="E4" s="201">
        <v>1.4054054054054054E-2</v>
      </c>
      <c r="F4" s="201">
        <v>1.4102564102564103E-2</v>
      </c>
      <c r="G4" s="201">
        <v>1.440922190201729E-3</v>
      </c>
      <c r="H4" s="201">
        <v>0</v>
      </c>
      <c r="I4" s="201">
        <v>0</v>
      </c>
      <c r="J4" s="202">
        <v>3.5335689045936395E-3</v>
      </c>
      <c r="K4" s="95">
        <f>IF(J4&lt;J$32,J$32/J4,0)</f>
        <v>3.9713677625746415</v>
      </c>
      <c r="L4" s="96">
        <f>VLOOKUP(A4,'IP Collections'!B$115:K$142,10,FALSE)</f>
        <v>4064.7</v>
      </c>
      <c r="M4" s="4">
        <f t="shared" si="0"/>
        <v>16142.418544537144</v>
      </c>
    </row>
    <row r="5" spans="1:14" x14ac:dyDescent="0.25">
      <c r="A5" s="95" t="s">
        <v>114</v>
      </c>
      <c r="B5" s="95" t="s">
        <v>115</v>
      </c>
      <c r="C5" s="95" t="s">
        <v>21</v>
      </c>
      <c r="D5" s="201">
        <v>1.3615118878276773E-2</v>
      </c>
      <c r="E5" s="201">
        <v>1.381331100879029E-2</v>
      </c>
      <c r="F5" s="201">
        <v>1.9938540698920888E-2</v>
      </c>
      <c r="G5" s="201">
        <v>1.5498464116168668E-2</v>
      </c>
      <c r="H5" s="201">
        <v>1.4862554254899381E-2</v>
      </c>
      <c r="I5" s="201">
        <v>1.2381207335028777E-2</v>
      </c>
      <c r="J5" s="202">
        <v>1.2311250170044892E-2</v>
      </c>
      <c r="K5" s="95">
        <f>IF(J5&lt;J$32,J$32/J5,0)</f>
        <v>1.139860001276231</v>
      </c>
      <c r="L5" s="96">
        <f>VLOOKUP(A5,'IP Collections'!B$115:K$142,10,FALSE)</f>
        <v>1076025.8999999999</v>
      </c>
      <c r="M5" s="4">
        <f t="shared" si="0"/>
        <v>1226518.8837472575</v>
      </c>
    </row>
    <row r="6" spans="1:14" x14ac:dyDescent="0.25">
      <c r="A6" s="95" t="s">
        <v>116</v>
      </c>
      <c r="B6" s="95" t="s">
        <v>117</v>
      </c>
      <c r="C6" s="95" t="s">
        <v>21</v>
      </c>
      <c r="D6" s="201">
        <v>4.8543689320388345E-3</v>
      </c>
      <c r="E6" s="201">
        <v>5.1921079958463139E-3</v>
      </c>
      <c r="F6" s="201">
        <v>4.140786749482402E-3</v>
      </c>
      <c r="G6" s="201">
        <v>1.1764705882352941E-2</v>
      </c>
      <c r="H6" s="201">
        <v>4.6367851622874804E-3</v>
      </c>
      <c r="I6" s="201">
        <v>6.5466448445171853E-3</v>
      </c>
      <c r="J6" s="202">
        <v>2.425222312045271E-3</v>
      </c>
      <c r="K6" s="95">
        <f>IF(J6&lt;J$32,J$32/J6,0)</f>
        <v>5.7863155739750667</v>
      </c>
      <c r="L6" s="96">
        <f>VLOOKUP(A6,'IP Collections'!B$115:K$142,10,FALSE)</f>
        <v>14112.13</v>
      </c>
      <c r="M6" s="4">
        <f t="shared" si="0"/>
        <v>81657.237600960754</v>
      </c>
    </row>
    <row r="7" spans="1:14" x14ac:dyDescent="0.25">
      <c r="A7" s="95" t="s">
        <v>118</v>
      </c>
      <c r="B7" s="95" t="s">
        <v>119</v>
      </c>
      <c r="C7" s="95" t="s">
        <v>12</v>
      </c>
      <c r="D7" s="201" t="s">
        <v>13</v>
      </c>
      <c r="E7" s="201" t="s">
        <v>13</v>
      </c>
      <c r="F7" s="201" t="s">
        <v>13</v>
      </c>
      <c r="G7" s="201" t="s">
        <v>13</v>
      </c>
      <c r="H7" s="201" t="s">
        <v>13</v>
      </c>
      <c r="I7" s="201" t="s">
        <v>13</v>
      </c>
      <c r="J7" s="202" t="s">
        <v>13</v>
      </c>
      <c r="K7" s="95">
        <f t="shared" ref="K7:K31" si="1">IF(I7&lt;0.0199,0.0199/I7,0)</f>
        <v>0</v>
      </c>
      <c r="L7" s="96" t="str">
        <f>VLOOKUP(A7,'IP Collections'!B$115:K$142,10,FALSE)</f>
        <v>NULL</v>
      </c>
      <c r="M7" s="4" t="str">
        <f t="shared" si="0"/>
        <v>NULL</v>
      </c>
    </row>
    <row r="8" spans="1:14" x14ac:dyDescent="0.25">
      <c r="A8" s="95" t="s">
        <v>120</v>
      </c>
      <c r="B8" s="95" t="s">
        <v>121</v>
      </c>
      <c r="C8" s="95" t="s">
        <v>21</v>
      </c>
      <c r="D8" s="201">
        <v>3.0352084176446782E-2</v>
      </c>
      <c r="E8" s="201">
        <v>2.6687598116169546E-2</v>
      </c>
      <c r="F8" s="201">
        <v>1.9371502367628066E-2</v>
      </c>
      <c r="G8" s="201">
        <v>1.7050691244239632E-2</v>
      </c>
      <c r="H8" s="201">
        <v>2.5773195876288658E-2</v>
      </c>
      <c r="I8" s="201">
        <v>2.4622030237580993E-2</v>
      </c>
      <c r="J8" s="202">
        <v>2.2862368541380886E-2</v>
      </c>
      <c r="K8" s="95">
        <f>IF(J8&lt;J$32,J$32/J8,0)</f>
        <v>0</v>
      </c>
      <c r="L8" s="96">
        <f>VLOOKUP(A8,'IP Collections'!B$115:K$142,10,FALSE)</f>
        <v>105358.21</v>
      </c>
      <c r="M8" s="4">
        <f t="shared" si="0"/>
        <v>105358.21</v>
      </c>
    </row>
    <row r="9" spans="1:14" x14ac:dyDescent="0.25">
      <c r="A9" s="95" t="s">
        <v>122</v>
      </c>
      <c r="B9" s="95" t="s">
        <v>123</v>
      </c>
      <c r="C9" s="95" t="s">
        <v>21</v>
      </c>
      <c r="D9" s="201">
        <v>2.1145165122356854E-2</v>
      </c>
      <c r="E9" s="201">
        <v>2.4077868852459015E-2</v>
      </c>
      <c r="F9" s="201">
        <v>2.5676807144850683E-2</v>
      </c>
      <c r="G9" s="201">
        <v>2.4050999710228921E-2</v>
      </c>
      <c r="H9" s="201">
        <v>2.1944444444444444E-2</v>
      </c>
      <c r="I9" s="201">
        <v>2.6837806301050177E-2</v>
      </c>
      <c r="J9" s="202">
        <v>2.1276595744680851E-2</v>
      </c>
      <c r="K9" s="95">
        <f>IF(J9&lt;J$32,J$32/J9,0)</f>
        <v>0</v>
      </c>
      <c r="L9" s="96">
        <f>VLOOKUP(A9,'IP Collections'!B$115:K$142,10,FALSE)</f>
        <v>550231.5</v>
      </c>
      <c r="M9" s="4">
        <f t="shared" si="0"/>
        <v>550231.5</v>
      </c>
    </row>
    <row r="10" spans="1:14" x14ac:dyDescent="0.25">
      <c r="A10" s="95" t="s">
        <v>124</v>
      </c>
      <c r="B10" s="95" t="s">
        <v>125</v>
      </c>
      <c r="C10" s="95" t="s">
        <v>12</v>
      </c>
      <c r="D10" s="201" t="s">
        <v>13</v>
      </c>
      <c r="E10" s="201" t="s">
        <v>13</v>
      </c>
      <c r="F10" s="201" t="s">
        <v>13</v>
      </c>
      <c r="G10" s="201" t="s">
        <v>13</v>
      </c>
      <c r="H10" s="201" t="s">
        <v>13</v>
      </c>
      <c r="I10" s="201" t="s">
        <v>13</v>
      </c>
      <c r="J10" s="202" t="s">
        <v>13</v>
      </c>
      <c r="K10" s="95">
        <f t="shared" si="1"/>
        <v>0</v>
      </c>
      <c r="L10" s="96" t="str">
        <f>VLOOKUP(A10,'IP Collections'!$B$3:$J$142,9,FALSE)</f>
        <v>NULL</v>
      </c>
      <c r="M10" s="4" t="str">
        <f t="shared" si="0"/>
        <v>NULL</v>
      </c>
    </row>
    <row r="11" spans="1:14" x14ac:dyDescent="0.25">
      <c r="A11" s="203" t="s">
        <v>126</v>
      </c>
      <c r="B11" s="203" t="s">
        <v>603</v>
      </c>
      <c r="C11" s="203" t="s">
        <v>21</v>
      </c>
      <c r="D11" s="204">
        <v>5.2250592261121345E-2</v>
      </c>
      <c r="E11" s="204">
        <v>6.1967771518406919E-2</v>
      </c>
      <c r="F11" s="204">
        <v>5.808080808080808E-2</v>
      </c>
      <c r="G11" s="204">
        <v>4.5913290689410094E-2</v>
      </c>
      <c r="H11" s="204">
        <v>4.5179812632215169E-2</v>
      </c>
      <c r="I11" s="204">
        <v>4.6960105991461797E-2</v>
      </c>
      <c r="J11" s="202"/>
      <c r="K11" s="95" t="e">
        <f>IF(J11&lt;J$32,J$32/J11,0)</f>
        <v>#DIV/0!</v>
      </c>
      <c r="L11" s="104"/>
      <c r="M11" s="104">
        <v>0</v>
      </c>
      <c r="N11" s="103" t="s">
        <v>612</v>
      </c>
    </row>
    <row r="12" spans="1:14" x14ac:dyDescent="0.25">
      <c r="A12" s="11" t="s">
        <v>127</v>
      </c>
      <c r="B12" s="11" t="s">
        <v>128</v>
      </c>
      <c r="C12" s="11" t="s">
        <v>12</v>
      </c>
      <c r="D12" s="205" t="s">
        <v>13</v>
      </c>
      <c r="E12" s="205" t="s">
        <v>13</v>
      </c>
      <c r="F12" s="205" t="s">
        <v>13</v>
      </c>
      <c r="G12" s="205" t="s">
        <v>13</v>
      </c>
      <c r="H12" s="205" t="s">
        <v>13</v>
      </c>
      <c r="I12" s="205" t="s">
        <v>13</v>
      </c>
      <c r="J12" s="202" t="s">
        <v>13</v>
      </c>
      <c r="K12" s="95">
        <f t="shared" si="1"/>
        <v>0</v>
      </c>
      <c r="L12" s="96" t="str">
        <f>VLOOKUP(A12,'IP Collections'!$B$3:$J$142,9,FALSE)</f>
        <v>NULL</v>
      </c>
      <c r="M12" s="4" t="str">
        <f t="shared" si="0"/>
        <v>NULL</v>
      </c>
    </row>
    <row r="13" spans="1:14" x14ac:dyDescent="0.25">
      <c r="A13" s="11" t="s">
        <v>129</v>
      </c>
      <c r="B13" s="11" t="s">
        <v>130</v>
      </c>
      <c r="C13" s="11" t="s">
        <v>21</v>
      </c>
      <c r="D13" s="205">
        <v>1.1326097215667769E-2</v>
      </c>
      <c r="E13" s="205">
        <v>1.2673753066230581E-2</v>
      </c>
      <c r="F13" s="205">
        <v>1.336728198599618E-2</v>
      </c>
      <c r="G13" s="205">
        <v>1.1621150493898896E-2</v>
      </c>
      <c r="H13" s="205">
        <v>9.9217706544552572E-3</v>
      </c>
      <c r="I13" s="205">
        <v>1.2723658051689861E-2</v>
      </c>
      <c r="J13" s="202">
        <v>1.0927876018279357E-2</v>
      </c>
      <c r="K13" s="95">
        <f>IF(J13&lt;J$32,J$32/J13,0)</f>
        <v>1.2841563732115753</v>
      </c>
      <c r="L13" s="96">
        <f>VLOOKUP(A13,'IP Collections'!B$115:K$142,10,FALSE)</f>
        <v>312745.49</v>
      </c>
      <c r="M13" s="4">
        <f t="shared" si="0"/>
        <v>401614.11417667696</v>
      </c>
    </row>
    <row r="14" spans="1:14" x14ac:dyDescent="0.25">
      <c r="A14" s="11" t="s">
        <v>131</v>
      </c>
      <c r="B14" s="11" t="s">
        <v>132</v>
      </c>
      <c r="C14" s="11" t="s">
        <v>21</v>
      </c>
      <c r="D14" s="205">
        <v>6.0728744939271256E-3</v>
      </c>
      <c r="E14" s="205">
        <v>8.5287846481876331E-3</v>
      </c>
      <c r="F14" s="205" t="e">
        <v>#DIV/0!</v>
      </c>
      <c r="G14" s="205" t="e">
        <v>#DIV/0!</v>
      </c>
      <c r="H14" s="205" t="e">
        <v>#VALUE!</v>
      </c>
      <c r="I14" s="205" t="e">
        <v>#VALUE!</v>
      </c>
      <c r="J14" s="202"/>
      <c r="K14" s="95">
        <v>0</v>
      </c>
      <c r="L14" s="96" t="str">
        <f>VLOOKUP(A14,'IP Collections'!$B$3:$J$142,9,FALSE)</f>
        <v>NULL</v>
      </c>
      <c r="M14" s="4" t="str">
        <f t="shared" si="0"/>
        <v>NULL</v>
      </c>
    </row>
    <row r="15" spans="1:14" x14ac:dyDescent="0.25">
      <c r="A15" s="11" t="s">
        <v>133</v>
      </c>
      <c r="B15" s="11" t="s">
        <v>134</v>
      </c>
      <c r="C15" s="11" t="s">
        <v>12</v>
      </c>
      <c r="D15" s="205" t="s">
        <v>13</v>
      </c>
      <c r="E15" s="205" t="s">
        <v>13</v>
      </c>
      <c r="F15" s="205" t="s">
        <v>13</v>
      </c>
      <c r="G15" s="205" t="s">
        <v>13</v>
      </c>
      <c r="H15" s="205" t="s">
        <v>13</v>
      </c>
      <c r="I15" s="205" t="e">
        <v>#VALUE!</v>
      </c>
      <c r="J15" s="202"/>
      <c r="K15" s="95">
        <v>0</v>
      </c>
      <c r="L15" s="96" t="str">
        <f>VLOOKUP(A15,'IP Collections'!$B$3:$J$142,9,FALSE)</f>
        <v>NULL</v>
      </c>
      <c r="M15" s="4" t="str">
        <f t="shared" si="0"/>
        <v>NULL</v>
      </c>
    </row>
    <row r="16" spans="1:14" x14ac:dyDescent="0.25">
      <c r="A16" s="11" t="s">
        <v>135</v>
      </c>
      <c r="B16" s="11" t="s">
        <v>136</v>
      </c>
      <c r="C16" s="11" t="s">
        <v>21</v>
      </c>
      <c r="D16" s="205"/>
      <c r="E16" s="205"/>
      <c r="F16" s="205"/>
      <c r="G16" s="205"/>
      <c r="H16" s="205"/>
      <c r="I16" s="205"/>
      <c r="J16" s="202"/>
      <c r="K16" s="95">
        <v>0</v>
      </c>
      <c r="L16" s="96" t="str">
        <f>VLOOKUP(A16,'IP Collections'!$B$3:$J$142,9,FALSE)</f>
        <v>NULL</v>
      </c>
      <c r="M16" s="4" t="str">
        <f t="shared" si="0"/>
        <v>NULL</v>
      </c>
    </row>
    <row r="17" spans="1:13" x14ac:dyDescent="0.25">
      <c r="A17" s="11" t="s">
        <v>137</v>
      </c>
      <c r="B17" s="11" t="s">
        <v>138</v>
      </c>
      <c r="C17" s="11" t="s">
        <v>21</v>
      </c>
      <c r="D17" s="205">
        <v>5.7142857142857141E-2</v>
      </c>
      <c r="E17" s="205">
        <v>1.4134275618374558E-2</v>
      </c>
      <c r="F17" s="205">
        <v>3.2028469750889681E-2</v>
      </c>
      <c r="G17" s="205">
        <v>1.2269938650306749E-2</v>
      </c>
      <c r="H17" s="205">
        <v>0</v>
      </c>
      <c r="I17" s="205">
        <v>5.8139534883720929E-2</v>
      </c>
      <c r="J17" s="202">
        <v>1.3157894736842105E-2</v>
      </c>
      <c r="K17" s="95">
        <f>IF(J17&lt;J$32,J$32/J17,0)</f>
        <v>1.0665157242249921</v>
      </c>
      <c r="L17" s="96">
        <f>VLOOKUP(A17,'IP Collections'!B$115:K$142,10,FALSE)</f>
        <v>8255.15</v>
      </c>
      <c r="M17" s="4">
        <f t="shared" si="0"/>
        <v>8804.2472808359435</v>
      </c>
    </row>
    <row r="18" spans="1:13" x14ac:dyDescent="0.25">
      <c r="A18" s="11" t="s">
        <v>139</v>
      </c>
      <c r="B18" s="11" t="s">
        <v>140</v>
      </c>
      <c r="C18" s="11" t="s">
        <v>12</v>
      </c>
      <c r="D18" s="205" t="s">
        <v>13</v>
      </c>
      <c r="E18" s="205" t="s">
        <v>13</v>
      </c>
      <c r="F18" s="205" t="s">
        <v>13</v>
      </c>
      <c r="G18" s="205" t="s">
        <v>13</v>
      </c>
      <c r="H18" s="205" t="s">
        <v>13</v>
      </c>
      <c r="I18" s="205" t="s">
        <v>13</v>
      </c>
      <c r="J18" s="202" t="s">
        <v>13</v>
      </c>
      <c r="K18" s="95">
        <f t="shared" si="1"/>
        <v>0</v>
      </c>
      <c r="L18" s="96" t="str">
        <f>VLOOKUP(A18,'IP Collections'!$B$3:$J$142,9,FALSE)</f>
        <v>NULL</v>
      </c>
      <c r="M18" s="4" t="str">
        <f t="shared" si="0"/>
        <v>NULL</v>
      </c>
    </row>
    <row r="19" spans="1:13" x14ac:dyDescent="0.25">
      <c r="A19" s="11" t="s">
        <v>141</v>
      </c>
      <c r="B19" s="11" t="s">
        <v>142</v>
      </c>
      <c r="C19" s="11" t="s">
        <v>12</v>
      </c>
      <c r="D19" s="205" t="s">
        <v>13</v>
      </c>
      <c r="E19" s="205" t="s">
        <v>13</v>
      </c>
      <c r="F19" s="205" t="s">
        <v>13</v>
      </c>
      <c r="G19" s="205" t="s">
        <v>13</v>
      </c>
      <c r="H19" s="205" t="s">
        <v>13</v>
      </c>
      <c r="I19" s="205" t="s">
        <v>13</v>
      </c>
      <c r="J19" s="202" t="s">
        <v>13</v>
      </c>
      <c r="K19" s="95">
        <f t="shared" si="1"/>
        <v>0</v>
      </c>
      <c r="L19" s="96" t="str">
        <f>VLOOKUP(A19,'IP Collections'!$B$3:$J$142,9,FALSE)</f>
        <v>NULL</v>
      </c>
      <c r="M19" s="4" t="str">
        <f t="shared" si="0"/>
        <v>NULL</v>
      </c>
    </row>
    <row r="20" spans="1:13" x14ac:dyDescent="0.25">
      <c r="A20" s="11" t="s">
        <v>143</v>
      </c>
      <c r="B20" s="11" t="s">
        <v>144</v>
      </c>
      <c r="C20" s="11" t="s">
        <v>21</v>
      </c>
      <c r="D20" s="205">
        <v>1.4660443100387877E-2</v>
      </c>
      <c r="E20" s="205">
        <v>1.8267223382045929E-2</v>
      </c>
      <c r="F20" s="205">
        <v>1.7268682603121935E-2</v>
      </c>
      <c r="G20" s="205">
        <v>1.806906056197841E-2</v>
      </c>
      <c r="H20" s="205">
        <v>1.7603988160149554E-2</v>
      </c>
      <c r="I20" s="205">
        <v>1.8272425249169437E-2</v>
      </c>
      <c r="J20" s="202">
        <v>1.9907994923857867E-2</v>
      </c>
      <c r="K20" s="95">
        <f>IF(J20&lt;J$32,J$32/J20,0)</f>
        <v>0</v>
      </c>
      <c r="L20" s="96">
        <f>VLOOKUP(A20,'IP Collections'!B$115:K$142,10,FALSE)</f>
        <v>1592558.82</v>
      </c>
      <c r="M20" s="4">
        <f t="shared" si="0"/>
        <v>1592558.82</v>
      </c>
    </row>
    <row r="21" spans="1:13" x14ac:dyDescent="0.25">
      <c r="A21" s="11" t="s">
        <v>145</v>
      </c>
      <c r="B21" s="11" t="s">
        <v>146</v>
      </c>
      <c r="C21" s="11" t="s">
        <v>21</v>
      </c>
      <c r="D21" s="205">
        <v>2.3101018010963197E-2</v>
      </c>
      <c r="E21" s="205">
        <v>2.2509378907878283E-2</v>
      </c>
      <c r="F21" s="205">
        <v>2.3849372384937239E-2</v>
      </c>
      <c r="G21" s="205">
        <v>2.5723472668810289E-2</v>
      </c>
      <c r="H21" s="205">
        <v>2.9715762273901807E-2</v>
      </c>
      <c r="I21" s="205">
        <v>2.0618556701030927E-2</v>
      </c>
      <c r="J21" s="202">
        <v>2.4437548487199378E-2</v>
      </c>
      <c r="K21" s="95">
        <f>IF(J21&lt;J$32,J$32/J21,0)</f>
        <v>0</v>
      </c>
      <c r="L21" s="96">
        <f>VLOOKUP(A21,'IP Collections'!B$115:K$142,10,FALSE)</f>
        <v>437167.77</v>
      </c>
      <c r="M21" s="4">
        <f t="shared" si="0"/>
        <v>437167.77</v>
      </c>
    </row>
    <row r="22" spans="1:13" x14ac:dyDescent="0.25">
      <c r="A22" s="11" t="s">
        <v>147</v>
      </c>
      <c r="B22" s="11" t="s">
        <v>148</v>
      </c>
      <c r="C22" s="11" t="s">
        <v>21</v>
      </c>
      <c r="D22" s="205">
        <v>4.3956043956043956E-3</v>
      </c>
      <c r="E22" s="205">
        <v>4.945598417408506E-3</v>
      </c>
      <c r="F22" s="205">
        <v>1.0123734533183352E-2</v>
      </c>
      <c r="G22" s="205">
        <v>1.4705882352941176E-2</v>
      </c>
      <c r="H22" s="205">
        <v>0</v>
      </c>
      <c r="I22" s="205">
        <v>2.7359781121751026E-3</v>
      </c>
      <c r="J22" s="202">
        <v>5.3404539385847796E-3</v>
      </c>
      <c r="K22" s="95">
        <f>IF(J22&lt;J$32,J$32/J22,0)</f>
        <v>2.6276982810674969</v>
      </c>
      <c r="L22" s="96">
        <f>VLOOKUP(A22,'IP Collections'!B$115:K$142,10,FALSE)</f>
        <v>7489.16</v>
      </c>
      <c r="M22" s="4">
        <f t="shared" si="0"/>
        <v>19679.252858639455</v>
      </c>
    </row>
    <row r="23" spans="1:13" x14ac:dyDescent="0.25">
      <c r="A23" s="11" t="s">
        <v>149</v>
      </c>
      <c r="B23" s="11" t="s">
        <v>150</v>
      </c>
      <c r="C23" s="11" t="s">
        <v>12</v>
      </c>
      <c r="D23" s="205" t="s">
        <v>13</v>
      </c>
      <c r="E23" s="205" t="s">
        <v>13</v>
      </c>
      <c r="F23" s="205" t="s">
        <v>13</v>
      </c>
      <c r="G23" s="205" t="s">
        <v>13</v>
      </c>
      <c r="H23" s="205" t="s">
        <v>13</v>
      </c>
      <c r="I23" s="205" t="s">
        <v>13</v>
      </c>
      <c r="J23" s="202" t="s">
        <v>13</v>
      </c>
      <c r="K23" s="95">
        <f t="shared" si="1"/>
        <v>0</v>
      </c>
      <c r="L23" s="96" t="str">
        <f>VLOOKUP(A23,'IP Collections'!$B$3:$J$142,9,FALSE)</f>
        <v>NULL</v>
      </c>
      <c r="M23" s="4" t="str">
        <f t="shared" si="0"/>
        <v>NULL</v>
      </c>
    </row>
    <row r="24" spans="1:13" x14ac:dyDescent="0.25">
      <c r="A24" s="11" t="s">
        <v>151</v>
      </c>
      <c r="B24" s="11" t="s">
        <v>152</v>
      </c>
      <c r="C24" s="11" t="s">
        <v>12</v>
      </c>
      <c r="D24" s="205" t="s">
        <v>13</v>
      </c>
      <c r="E24" s="205" t="s">
        <v>13</v>
      </c>
      <c r="F24" s="205" t="s">
        <v>13</v>
      </c>
      <c r="G24" s="205" t="s">
        <v>13</v>
      </c>
      <c r="H24" s="205" t="s">
        <v>13</v>
      </c>
      <c r="I24" s="205" t="s">
        <v>13</v>
      </c>
      <c r="J24" s="202" t="s">
        <v>13</v>
      </c>
      <c r="K24" s="95">
        <f t="shared" si="1"/>
        <v>0</v>
      </c>
      <c r="L24" s="96" t="str">
        <f>VLOOKUP(A24,'IP Collections'!$B$3:$J$142,9,FALSE)</f>
        <v>NULL</v>
      </c>
      <c r="M24" s="4" t="str">
        <f t="shared" si="0"/>
        <v>NULL</v>
      </c>
    </row>
    <row r="25" spans="1:13" x14ac:dyDescent="0.25">
      <c r="A25" s="11" t="s">
        <v>153</v>
      </c>
      <c r="B25" s="11" t="s">
        <v>154</v>
      </c>
      <c r="C25" s="11" t="s">
        <v>12</v>
      </c>
      <c r="D25" s="205" t="s">
        <v>13</v>
      </c>
      <c r="E25" s="205" t="s">
        <v>13</v>
      </c>
      <c r="F25" s="205" t="s">
        <v>13</v>
      </c>
      <c r="G25" s="205" t="s">
        <v>13</v>
      </c>
      <c r="H25" s="205" t="s">
        <v>13</v>
      </c>
      <c r="I25" s="205" t="s">
        <v>13</v>
      </c>
      <c r="J25" s="202" t="s">
        <v>13</v>
      </c>
      <c r="K25" s="95">
        <f t="shared" si="1"/>
        <v>0</v>
      </c>
      <c r="L25" s="96" t="str">
        <f>VLOOKUP(A25,'IP Collections'!$B$3:$J$142,9,FALSE)</f>
        <v>NULL</v>
      </c>
      <c r="M25" s="4" t="str">
        <f t="shared" si="0"/>
        <v>NULL</v>
      </c>
    </row>
    <row r="26" spans="1:13" x14ac:dyDescent="0.25">
      <c r="A26" s="11" t="s">
        <v>155</v>
      </c>
      <c r="B26" s="11" t="s">
        <v>156</v>
      </c>
      <c r="C26" s="11" t="s">
        <v>12</v>
      </c>
      <c r="D26" s="205" t="s">
        <v>13</v>
      </c>
      <c r="E26" s="205" t="s">
        <v>13</v>
      </c>
      <c r="F26" s="205" t="s">
        <v>13</v>
      </c>
      <c r="G26" s="205" t="s">
        <v>13</v>
      </c>
      <c r="H26" s="205" t="s">
        <v>13</v>
      </c>
      <c r="I26" s="205" t="s">
        <v>13</v>
      </c>
      <c r="J26" s="202" t="s">
        <v>13</v>
      </c>
      <c r="K26" s="95">
        <f t="shared" si="1"/>
        <v>0</v>
      </c>
      <c r="L26" s="96" t="str">
        <f>VLOOKUP(A26,'IP Collections'!$B$3:$J$142,9,FALSE)</f>
        <v>NULL</v>
      </c>
      <c r="M26" s="4" t="str">
        <f t="shared" si="0"/>
        <v>NULL</v>
      </c>
    </row>
    <row r="27" spans="1:13" x14ac:dyDescent="0.25">
      <c r="A27" s="11" t="s">
        <v>157</v>
      </c>
      <c r="B27" s="11" t="s">
        <v>158</v>
      </c>
      <c r="C27" s="11" t="s">
        <v>12</v>
      </c>
      <c r="D27" s="205" t="s">
        <v>13</v>
      </c>
      <c r="E27" s="205" t="s">
        <v>13</v>
      </c>
      <c r="F27" s="205" t="s">
        <v>13</v>
      </c>
      <c r="G27" s="205" t="s">
        <v>13</v>
      </c>
      <c r="H27" s="205" t="s">
        <v>13</v>
      </c>
      <c r="I27" s="205" t="s">
        <v>13</v>
      </c>
      <c r="J27" s="202" t="s">
        <v>13</v>
      </c>
      <c r="K27" s="95">
        <f t="shared" si="1"/>
        <v>0</v>
      </c>
      <c r="L27" s="96" t="str">
        <f>VLOOKUP(A27,'IP Collections'!$B$3:$J$142,9,FALSE)</f>
        <v>NULL</v>
      </c>
      <c r="M27" s="4" t="str">
        <f t="shared" si="0"/>
        <v>NULL</v>
      </c>
    </row>
    <row r="28" spans="1:13" x14ac:dyDescent="0.25">
      <c r="A28" s="11" t="s">
        <v>159</v>
      </c>
      <c r="B28" s="11" t="s">
        <v>160</v>
      </c>
      <c r="C28" s="11" t="s">
        <v>16</v>
      </c>
      <c r="D28" s="205" t="s">
        <v>13</v>
      </c>
      <c r="E28" s="205" t="s">
        <v>13</v>
      </c>
      <c r="F28" s="205" t="s">
        <v>13</v>
      </c>
      <c r="G28" s="205" t="s">
        <v>13</v>
      </c>
      <c r="H28" s="205" t="s">
        <v>13</v>
      </c>
      <c r="I28" s="205" t="s">
        <v>13</v>
      </c>
      <c r="J28" s="202" t="s">
        <v>13</v>
      </c>
      <c r="K28" s="95">
        <f t="shared" si="1"/>
        <v>0</v>
      </c>
      <c r="L28" s="96" t="str">
        <f>VLOOKUP(A28,'IP Collections'!$B$3:$J$142,9,FALSE)</f>
        <v>NULL</v>
      </c>
      <c r="M28" s="4" t="str">
        <f t="shared" si="0"/>
        <v>NULL</v>
      </c>
    </row>
    <row r="29" spans="1:13" x14ac:dyDescent="0.25">
      <c r="A29" s="11" t="s">
        <v>161</v>
      </c>
      <c r="B29" s="11" t="s">
        <v>162</v>
      </c>
      <c r="C29" s="11" t="s">
        <v>21</v>
      </c>
      <c r="D29" s="205">
        <v>3.3622007131940905E-2</v>
      </c>
      <c r="E29" s="205">
        <v>3.2581453634085211E-2</v>
      </c>
      <c r="F29" s="205">
        <v>3.1645569620253167E-2</v>
      </c>
      <c r="G29" s="205">
        <v>3.2325338894681963E-2</v>
      </c>
      <c r="H29" s="205">
        <v>3.7192003719200374E-2</v>
      </c>
      <c r="I29" s="205">
        <v>2.484169508037019E-2</v>
      </c>
      <c r="J29" s="202">
        <v>2.5857519788918207E-2</v>
      </c>
      <c r="K29" s="95">
        <f>IF(J29&lt;J$32,J$32/J29,0)</f>
        <v>0</v>
      </c>
      <c r="L29" s="96">
        <f>VLOOKUP(A29,'IP Collections'!B$115:K$142,10,FALSE)</f>
        <v>256866.18</v>
      </c>
      <c r="M29" s="4">
        <f t="shared" si="0"/>
        <v>256866.18</v>
      </c>
    </row>
    <row r="30" spans="1:13" x14ac:dyDescent="0.25">
      <c r="A30" s="11" t="s">
        <v>163</v>
      </c>
      <c r="B30" s="11" t="s">
        <v>164</v>
      </c>
      <c r="C30" s="11" t="s">
        <v>16</v>
      </c>
      <c r="D30" s="205" t="s">
        <v>13</v>
      </c>
      <c r="E30" s="205" t="s">
        <v>13</v>
      </c>
      <c r="F30" s="205" t="s">
        <v>13</v>
      </c>
      <c r="G30" s="205" t="s">
        <v>13</v>
      </c>
      <c r="H30" s="205" t="s">
        <v>13</v>
      </c>
      <c r="I30" s="205" t="s">
        <v>13</v>
      </c>
      <c r="J30" s="202" t="s">
        <v>13</v>
      </c>
      <c r="K30" s="95">
        <f t="shared" si="1"/>
        <v>0</v>
      </c>
      <c r="L30" s="96" t="str">
        <f>VLOOKUP(A30,'IP Collections'!$B$3:$J$142,9,FALSE)</f>
        <v>NULL</v>
      </c>
      <c r="M30" s="4" t="str">
        <f t="shared" si="0"/>
        <v>NULL</v>
      </c>
    </row>
    <row r="31" spans="1:13" ht="15.75" thickBot="1" x14ac:dyDescent="0.3">
      <c r="A31" s="11" t="s">
        <v>165</v>
      </c>
      <c r="B31" s="11" t="s">
        <v>166</v>
      </c>
      <c r="C31" s="11" t="s">
        <v>16</v>
      </c>
      <c r="D31" s="205" t="s">
        <v>13</v>
      </c>
      <c r="E31" s="205" t="s">
        <v>13</v>
      </c>
      <c r="F31" s="205" t="s">
        <v>13</v>
      </c>
      <c r="G31" s="205" t="s">
        <v>13</v>
      </c>
      <c r="H31" s="205" t="s">
        <v>13</v>
      </c>
      <c r="I31" s="205" t="s">
        <v>13</v>
      </c>
      <c r="J31" s="206" t="s">
        <v>13</v>
      </c>
      <c r="K31" s="95">
        <f t="shared" si="1"/>
        <v>0</v>
      </c>
      <c r="L31" s="96" t="str">
        <f>VLOOKUP(A31,'IP Collections'!$B$3:$J$142,9,FALSE)</f>
        <v>NULL</v>
      </c>
      <c r="M31" s="4" t="str">
        <f t="shared" si="0"/>
        <v>NULL</v>
      </c>
    </row>
    <row r="32" spans="1:13" ht="15.75" thickBot="1" x14ac:dyDescent="0.3">
      <c r="D32" s="2"/>
      <c r="E32" s="2"/>
      <c r="F32" s="2"/>
      <c r="G32" s="2"/>
      <c r="H32" s="2" t="s">
        <v>109</v>
      </c>
      <c r="I32" s="2">
        <f>AVERAGE(I3:I6,I8:I9,I11,I13,I17,I20:I22,I29)</f>
        <v>1.9932706530535246E-2</v>
      </c>
      <c r="J32" s="207">
        <f>AVERAGE(J3:J31)</f>
        <v>1.403310163453937E-2</v>
      </c>
      <c r="K32" t="s">
        <v>167</v>
      </c>
      <c r="L32" s="1">
        <f>SUM(L3:L31)</f>
        <v>4481079.18</v>
      </c>
      <c r="M32" s="1">
        <f>SUM(M3:M31)</f>
        <v>4953042.0832514679</v>
      </c>
    </row>
    <row r="33" spans="4:10" x14ac:dyDescent="0.25">
      <c r="D33" s="2"/>
      <c r="E33" s="2"/>
      <c r="F33" s="2"/>
      <c r="G33" s="2"/>
      <c r="H33" s="2"/>
      <c r="I33" s="2"/>
      <c r="J33" s="2"/>
    </row>
    <row r="34" spans="4:10" x14ac:dyDescent="0.25">
      <c r="D34" s="2"/>
      <c r="E34" s="2"/>
      <c r="F34" s="2"/>
      <c r="G34" s="2"/>
      <c r="H34" s="2"/>
      <c r="I34" s="2"/>
      <c r="J34" s="2"/>
    </row>
    <row r="35" spans="4:10" x14ac:dyDescent="0.25">
      <c r="D35" s="2"/>
      <c r="E35" s="2"/>
      <c r="F35" s="2"/>
      <c r="G35" s="2"/>
      <c r="H35" s="2"/>
      <c r="I35" s="2"/>
      <c r="J35" s="2"/>
    </row>
    <row r="36" spans="4:10" x14ac:dyDescent="0.25">
      <c r="D36" s="2"/>
      <c r="E36" s="2"/>
      <c r="F36" s="2"/>
      <c r="G36" s="2"/>
      <c r="H36" s="2"/>
      <c r="I36" s="2"/>
      <c r="J36" s="2"/>
    </row>
    <row r="37" spans="4:10" x14ac:dyDescent="0.25">
      <c r="D37" s="2"/>
      <c r="E37" s="2"/>
      <c r="F37" s="2"/>
      <c r="G37" s="2"/>
      <c r="H37" s="2"/>
      <c r="I37" s="2"/>
      <c r="J37" s="2"/>
    </row>
    <row r="38" spans="4:10" x14ac:dyDescent="0.25">
      <c r="D38" s="2"/>
      <c r="E38" s="2"/>
      <c r="F38" s="2"/>
      <c r="G38" s="2"/>
      <c r="H38" s="2"/>
      <c r="I38" s="2"/>
      <c r="J38" s="2"/>
    </row>
    <row r="39" spans="4:10" x14ac:dyDescent="0.25">
      <c r="D39" s="2"/>
      <c r="E39" s="2"/>
      <c r="F39" s="2"/>
      <c r="G39" s="2"/>
      <c r="H39" s="2"/>
      <c r="I39" s="2"/>
      <c r="J39" s="2"/>
    </row>
    <row r="40" spans="4:10" x14ac:dyDescent="0.25">
      <c r="D40" s="2"/>
      <c r="E40" s="2"/>
      <c r="F40" s="2"/>
      <c r="G40" s="2"/>
      <c r="H40" s="2"/>
      <c r="I40" s="2"/>
      <c r="J40" s="2"/>
    </row>
    <row r="41" spans="4:10" x14ac:dyDescent="0.25">
      <c r="D41" s="2"/>
      <c r="E41" s="2"/>
      <c r="F41" s="2"/>
      <c r="G41" s="2"/>
      <c r="H41" s="2"/>
      <c r="I41" s="2"/>
      <c r="J41" s="2"/>
    </row>
    <row r="42" spans="4:10" x14ac:dyDescent="0.25">
      <c r="D42" s="2"/>
      <c r="E42" s="2"/>
      <c r="F42" s="2"/>
      <c r="G42" s="2"/>
      <c r="H42" s="2"/>
      <c r="I42" s="2"/>
      <c r="J42" s="2"/>
    </row>
    <row r="43" spans="4:10" x14ac:dyDescent="0.25">
      <c r="D43" s="2"/>
      <c r="E43" s="2"/>
      <c r="F43" s="2"/>
      <c r="G43" s="2"/>
      <c r="H43" s="2"/>
      <c r="I43" s="2"/>
      <c r="J43" s="2"/>
    </row>
    <row r="44" spans="4:10" x14ac:dyDescent="0.25">
      <c r="D44" s="2"/>
      <c r="E44" s="2"/>
      <c r="F44" s="2"/>
      <c r="G44" s="2"/>
      <c r="H44" s="2"/>
      <c r="I44" s="2"/>
      <c r="J44" s="2"/>
    </row>
    <row r="45" spans="4:10" x14ac:dyDescent="0.25">
      <c r="D45" s="2"/>
      <c r="E45" s="2"/>
      <c r="F45" s="2"/>
      <c r="G45" s="2"/>
      <c r="H45" s="2"/>
      <c r="I45" s="2"/>
      <c r="J45" s="2"/>
    </row>
    <row r="46" spans="4:10" x14ac:dyDescent="0.25">
      <c r="D46" s="2"/>
      <c r="E46" s="2"/>
      <c r="F46" s="2"/>
      <c r="G46" s="2"/>
      <c r="H46" s="2"/>
      <c r="I46" s="2"/>
      <c r="J46" s="2"/>
    </row>
    <row r="47" spans="4:10" x14ac:dyDescent="0.25">
      <c r="D47" s="2"/>
      <c r="E47" s="2"/>
      <c r="F47" s="2"/>
      <c r="G47" s="2"/>
      <c r="H47" s="2"/>
      <c r="I47" s="2"/>
      <c r="J47" s="2"/>
    </row>
    <row r="48" spans="4:10" x14ac:dyDescent="0.25">
      <c r="D48" s="2"/>
      <c r="E48" s="2"/>
      <c r="F48" s="2"/>
      <c r="G48" s="2"/>
      <c r="H48" s="2"/>
      <c r="I48" s="2"/>
      <c r="J48" s="2"/>
    </row>
    <row r="49" spans="4:10" x14ac:dyDescent="0.25">
      <c r="D49" s="2"/>
      <c r="E49" s="2"/>
      <c r="F49" s="2"/>
      <c r="G49" s="2"/>
      <c r="H49" s="2"/>
      <c r="I49" s="2"/>
      <c r="J49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zoomScale="85" zoomScaleNormal="85" workbookViewId="0">
      <selection activeCell="K6" sqref="K6"/>
    </sheetView>
  </sheetViews>
  <sheetFormatPr defaultRowHeight="15" x14ac:dyDescent="0.25"/>
  <cols>
    <col min="2" max="2" width="48" bestFit="1" customWidth="1"/>
    <col min="3" max="3" width="12" bestFit="1" customWidth="1"/>
    <col min="4" max="4" width="7.140625" bestFit="1" customWidth="1"/>
    <col min="5" max="5" width="7.7109375" customWidth="1"/>
    <col min="6" max="6" width="7.28515625" bestFit="1" customWidth="1"/>
    <col min="7" max="7" width="7.85546875" bestFit="1" customWidth="1"/>
    <col min="8" max="8" width="8.42578125" bestFit="1" customWidth="1"/>
    <col min="9" max="9" width="8.5703125" bestFit="1" customWidth="1"/>
    <col min="10" max="10" width="8.5703125" customWidth="1"/>
    <col min="11" max="11" width="17" bestFit="1" customWidth="1"/>
    <col min="12" max="12" width="15.140625" bestFit="1" customWidth="1"/>
    <col min="13" max="13" width="14" bestFit="1" customWidth="1"/>
  </cols>
  <sheetData>
    <row r="1" spans="1:14" x14ac:dyDescent="0.25">
      <c r="A1" s="284"/>
      <c r="B1" s="284"/>
      <c r="C1" s="5"/>
      <c r="D1" s="5"/>
      <c r="E1" s="5"/>
      <c r="F1" s="5"/>
      <c r="G1" s="5"/>
      <c r="H1" s="5"/>
      <c r="I1" s="5"/>
      <c r="J1" s="5"/>
    </row>
    <row r="2" spans="1:14" x14ac:dyDescent="0.25">
      <c r="A2" s="115" t="s">
        <v>0</v>
      </c>
      <c r="B2" s="115" t="s">
        <v>1</v>
      </c>
      <c r="C2" s="115" t="s">
        <v>2</v>
      </c>
      <c r="D2" s="115"/>
      <c r="E2" s="94" t="s">
        <v>3</v>
      </c>
      <c r="F2" s="115"/>
      <c r="G2" s="94"/>
      <c r="H2" s="94"/>
      <c r="I2" s="94"/>
      <c r="J2" s="94"/>
      <c r="K2" s="94"/>
      <c r="L2" s="94"/>
      <c r="M2" s="94"/>
      <c r="N2" s="94"/>
    </row>
    <row r="3" spans="1:14" x14ac:dyDescent="0.25">
      <c r="A3" s="94"/>
      <c r="B3" s="94"/>
      <c r="C3" s="94"/>
      <c r="D3" s="116" t="s">
        <v>4</v>
      </c>
      <c r="E3" s="116" t="s">
        <v>5</v>
      </c>
      <c r="F3" s="116" t="s">
        <v>6</v>
      </c>
      <c r="G3" s="116" t="s">
        <v>7</v>
      </c>
      <c r="H3" s="116" t="s">
        <v>8</v>
      </c>
      <c r="I3" s="116" t="s">
        <v>600</v>
      </c>
      <c r="J3" s="116" t="s">
        <v>613</v>
      </c>
      <c r="K3" s="97" t="s">
        <v>9</v>
      </c>
      <c r="L3" s="97" t="s">
        <v>617</v>
      </c>
      <c r="M3" s="97" t="s">
        <v>618</v>
      </c>
      <c r="N3" s="97" t="s">
        <v>593</v>
      </c>
    </row>
    <row r="4" spans="1:14" x14ac:dyDescent="0.25">
      <c r="A4" s="94" t="s">
        <v>296</v>
      </c>
      <c r="B4" s="94" t="s">
        <v>295</v>
      </c>
      <c r="C4" s="94" t="s">
        <v>12</v>
      </c>
      <c r="D4" s="97"/>
      <c r="E4" s="97"/>
      <c r="F4" s="97"/>
      <c r="G4" s="97"/>
      <c r="H4" s="97" t="s">
        <v>13</v>
      </c>
      <c r="I4" s="97" t="s">
        <v>13</v>
      </c>
      <c r="J4" s="195" t="s">
        <v>13</v>
      </c>
      <c r="K4" s="93">
        <f t="shared" ref="K4:K9" si="0">IF(J4&lt;J$69,J$69/J4,0)</f>
        <v>0</v>
      </c>
      <c r="L4" s="96" t="str">
        <f>VLOOKUP(A4,'IP Collections'!B3:K67,10,FALSE)</f>
        <v>NULL</v>
      </c>
      <c r="M4" s="96" t="str">
        <f t="shared" ref="M4:M12" si="1">IF(K4&gt;0,L4*K4,L4)</f>
        <v>NULL</v>
      </c>
      <c r="N4" s="94"/>
    </row>
    <row r="5" spans="1:14" x14ac:dyDescent="0.25">
      <c r="A5" s="94" t="s">
        <v>294</v>
      </c>
      <c r="B5" s="94" t="s">
        <v>601</v>
      </c>
      <c r="C5" s="94" t="s">
        <v>21</v>
      </c>
      <c r="D5" s="114">
        <v>5.1382113821138213E-2</v>
      </c>
      <c r="E5" s="114">
        <v>6.3350035790980669E-2</v>
      </c>
      <c r="F5" s="114">
        <v>6.797734088637121E-2</v>
      </c>
      <c r="G5" s="114">
        <v>5.4644808743169397E-2</v>
      </c>
      <c r="H5" s="114">
        <v>7.4153450492927556E-2</v>
      </c>
      <c r="I5" s="114">
        <v>6.021594684385382E-2</v>
      </c>
      <c r="J5" s="196">
        <v>6.7374709591769E-2</v>
      </c>
      <c r="K5" s="93">
        <f t="shared" si="0"/>
        <v>0</v>
      </c>
      <c r="L5" s="96">
        <f>VLOOKUP(A5,'IP Collections'!B4:K67,10,FALSE)</f>
        <v>833496.49</v>
      </c>
      <c r="M5" s="96">
        <f t="shared" si="1"/>
        <v>833496.49</v>
      </c>
      <c r="N5" s="94"/>
    </row>
    <row r="6" spans="1:14" x14ac:dyDescent="0.25">
      <c r="A6" s="94" t="s">
        <v>293</v>
      </c>
      <c r="B6" s="94" t="s">
        <v>292</v>
      </c>
      <c r="C6" s="94" t="s">
        <v>12</v>
      </c>
      <c r="D6" s="114" t="s">
        <v>13</v>
      </c>
      <c r="E6" s="114" t="s">
        <v>13</v>
      </c>
      <c r="F6" s="114" t="s">
        <v>13</v>
      </c>
      <c r="G6" s="114" t="s">
        <v>13</v>
      </c>
      <c r="H6" s="114" t="s">
        <v>13</v>
      </c>
      <c r="I6" s="114" t="s">
        <v>13</v>
      </c>
      <c r="J6" s="196" t="s">
        <v>13</v>
      </c>
      <c r="K6" s="93">
        <f t="shared" si="0"/>
        <v>0</v>
      </c>
      <c r="L6" s="96" t="str">
        <f>VLOOKUP(A6,'IP Collections'!B5:K68,10,FALSE)</f>
        <v>NULL</v>
      </c>
      <c r="M6" s="96" t="str">
        <f t="shared" si="1"/>
        <v>NULL</v>
      </c>
      <c r="N6" s="94"/>
    </row>
    <row r="7" spans="1:14" x14ac:dyDescent="0.25">
      <c r="A7" s="94" t="s">
        <v>291</v>
      </c>
      <c r="B7" s="94" t="s">
        <v>290</v>
      </c>
      <c r="C7" s="94" t="s">
        <v>12</v>
      </c>
      <c r="D7" s="114" t="s">
        <v>13</v>
      </c>
      <c r="E7" s="114" t="s">
        <v>13</v>
      </c>
      <c r="F7" s="114" t="s">
        <v>13</v>
      </c>
      <c r="G7" s="114" t="s">
        <v>13</v>
      </c>
      <c r="H7" s="114" t="s">
        <v>13</v>
      </c>
      <c r="I7" s="114" t="s">
        <v>13</v>
      </c>
      <c r="J7" s="195" t="s">
        <v>13</v>
      </c>
      <c r="K7" s="93">
        <f t="shared" si="0"/>
        <v>0</v>
      </c>
      <c r="L7" s="96" t="str">
        <f>VLOOKUP(A7,'IP Collections'!B6:K69,10,FALSE)</f>
        <v>NULL</v>
      </c>
      <c r="M7" s="96" t="str">
        <f t="shared" si="1"/>
        <v>NULL</v>
      </c>
      <c r="N7" s="94"/>
    </row>
    <row r="8" spans="1:14" x14ac:dyDescent="0.25">
      <c r="A8" s="94" t="s">
        <v>289</v>
      </c>
      <c r="B8" s="94" t="s">
        <v>288</v>
      </c>
      <c r="C8" s="94" t="s">
        <v>12</v>
      </c>
      <c r="D8" s="114" t="s">
        <v>13</v>
      </c>
      <c r="E8" s="114" t="s">
        <v>13</v>
      </c>
      <c r="F8" s="114" t="s">
        <v>13</v>
      </c>
      <c r="G8" s="114" t="s">
        <v>13</v>
      </c>
      <c r="H8" s="114" t="s">
        <v>13</v>
      </c>
      <c r="I8" s="114" t="s">
        <v>13</v>
      </c>
      <c r="J8" s="195" t="s">
        <v>13</v>
      </c>
      <c r="K8" s="93">
        <f t="shared" si="0"/>
        <v>0</v>
      </c>
      <c r="L8" s="96" t="str">
        <f>VLOOKUP(A8,'IP Collections'!B7:K70,10,FALSE)</f>
        <v>NULL</v>
      </c>
      <c r="M8" s="96" t="str">
        <f t="shared" si="1"/>
        <v>NULL</v>
      </c>
      <c r="N8" s="94"/>
    </row>
    <row r="9" spans="1:14" x14ac:dyDescent="0.25">
      <c r="A9" s="94" t="s">
        <v>287</v>
      </c>
      <c r="B9" s="94" t="s">
        <v>286</v>
      </c>
      <c r="C9" s="94" t="s">
        <v>21</v>
      </c>
      <c r="D9" s="114">
        <v>3.9368104312938815E-2</v>
      </c>
      <c r="E9" s="114">
        <v>4.2659974905897118E-2</v>
      </c>
      <c r="F9" s="114">
        <v>5.1970443349753696E-2</v>
      </c>
      <c r="G9" s="114">
        <v>4.4253781892074961E-2</v>
      </c>
      <c r="H9" s="114">
        <v>3.847854931446263E-2</v>
      </c>
      <c r="I9" s="114">
        <v>3.1430276506862941E-2</v>
      </c>
      <c r="J9" s="195">
        <v>3.8268955650929901E-2</v>
      </c>
      <c r="K9" s="93">
        <f t="shared" si="0"/>
        <v>1.2239120142699402</v>
      </c>
      <c r="L9" s="96">
        <f>VLOOKUP(A9,'IP Collections'!B8:K71,10,FALSE)</f>
        <v>662855.11</v>
      </c>
      <c r="M9" s="96">
        <f t="shared" si="1"/>
        <v>811276.33284922282</v>
      </c>
      <c r="N9" s="94"/>
    </row>
    <row r="10" spans="1:14" x14ac:dyDescent="0.25">
      <c r="A10" s="94" t="s">
        <v>285</v>
      </c>
      <c r="B10" s="94" t="s">
        <v>284</v>
      </c>
      <c r="C10" s="94" t="s">
        <v>12</v>
      </c>
      <c r="D10" s="114" t="s">
        <v>13</v>
      </c>
      <c r="E10" s="114" t="s">
        <v>13</v>
      </c>
      <c r="F10" s="114" t="s">
        <v>13</v>
      </c>
      <c r="G10" s="114" t="s">
        <v>13</v>
      </c>
      <c r="H10" s="114" t="s">
        <v>13</v>
      </c>
      <c r="I10" s="114" t="s">
        <v>13</v>
      </c>
      <c r="J10" s="195" t="s">
        <v>13</v>
      </c>
      <c r="K10" s="93">
        <f>IF(I10&lt;0.0451,0.0451/I10,0)</f>
        <v>0</v>
      </c>
      <c r="L10" s="96" t="str">
        <f>VLOOKUP(A10,'IP Collections'!B9:K72,10,FALSE)</f>
        <v>NULL</v>
      </c>
      <c r="M10" s="96" t="str">
        <f t="shared" si="1"/>
        <v>NULL</v>
      </c>
      <c r="N10" s="94"/>
    </row>
    <row r="11" spans="1:14" x14ac:dyDescent="0.25">
      <c r="A11" s="94" t="s">
        <v>283</v>
      </c>
      <c r="B11" s="94" t="s">
        <v>282</v>
      </c>
      <c r="C11" s="94" t="s">
        <v>12</v>
      </c>
      <c r="D11" s="114" t="s">
        <v>13</v>
      </c>
      <c r="E11" s="114" t="s">
        <v>13</v>
      </c>
      <c r="F11" s="114" t="s">
        <v>13</v>
      </c>
      <c r="G11" s="114" t="s">
        <v>13</v>
      </c>
      <c r="H11" s="114" t="s">
        <v>13</v>
      </c>
      <c r="I11" s="114" t="s">
        <v>13</v>
      </c>
      <c r="J11" s="195" t="s">
        <v>13</v>
      </c>
      <c r="K11" s="93">
        <f>IF(I11&lt;0.0451,0.0451/I11,0)</f>
        <v>0</v>
      </c>
      <c r="L11" s="96" t="str">
        <f>VLOOKUP(A11,'IP Collections'!B10:K73,10,FALSE)</f>
        <v>NULL</v>
      </c>
      <c r="M11" s="96" t="str">
        <f t="shared" si="1"/>
        <v>NULL</v>
      </c>
      <c r="N11" s="94"/>
    </row>
    <row r="12" spans="1:14" x14ac:dyDescent="0.25">
      <c r="A12" s="94" t="s">
        <v>281</v>
      </c>
      <c r="B12" s="94" t="s">
        <v>280</v>
      </c>
      <c r="C12" s="94" t="s">
        <v>12</v>
      </c>
      <c r="D12" s="114" t="s">
        <v>13</v>
      </c>
      <c r="E12" s="114" t="s">
        <v>13</v>
      </c>
      <c r="F12" s="114" t="s">
        <v>13</v>
      </c>
      <c r="G12" s="114" t="s">
        <v>13</v>
      </c>
      <c r="H12" s="114" t="s">
        <v>13</v>
      </c>
      <c r="I12" s="114" t="s">
        <v>13</v>
      </c>
      <c r="J12" s="195" t="s">
        <v>13</v>
      </c>
      <c r="K12" s="93">
        <f>IF(I12&lt;0.0451,0.0451/I12,0)</f>
        <v>0</v>
      </c>
      <c r="L12" s="96" t="str">
        <f>VLOOKUP(A12,'IP Collections'!B11:K74,10,FALSE)</f>
        <v>NULL</v>
      </c>
      <c r="M12" s="96" t="str">
        <f t="shared" si="1"/>
        <v>NULL</v>
      </c>
      <c r="N12" s="94"/>
    </row>
    <row r="13" spans="1:14" x14ac:dyDescent="0.25">
      <c r="A13" s="94" t="s">
        <v>279</v>
      </c>
      <c r="B13" s="94" t="s">
        <v>278</v>
      </c>
      <c r="C13" s="94" t="s">
        <v>21</v>
      </c>
      <c r="D13" s="114">
        <v>2.9058116232464931E-2</v>
      </c>
      <c r="E13" s="114">
        <v>4.3999999999999997E-2</v>
      </c>
      <c r="F13" s="114">
        <v>3.4482758620689655E-2</v>
      </c>
      <c r="G13" s="114" t="e">
        <v>#DIV/0!</v>
      </c>
      <c r="H13" s="114" t="e">
        <v>#VALUE!</v>
      </c>
      <c r="I13" s="114" t="e">
        <v>#VALUE!</v>
      </c>
      <c r="J13" s="195"/>
      <c r="K13" s="93">
        <v>0</v>
      </c>
      <c r="L13" s="96" t="str">
        <f>VLOOKUP(A13,'IP Collections'!B12:K75,10,FALSE)</f>
        <v>NULL</v>
      </c>
      <c r="M13" s="96">
        <v>0</v>
      </c>
      <c r="N13" s="94"/>
    </row>
    <row r="14" spans="1:14" x14ac:dyDescent="0.25">
      <c r="A14" s="94" t="s">
        <v>277</v>
      </c>
      <c r="B14" s="94" t="s">
        <v>276</v>
      </c>
      <c r="C14" s="94" t="s">
        <v>12</v>
      </c>
      <c r="D14" s="114" t="s">
        <v>13</v>
      </c>
      <c r="E14" s="114" t="s">
        <v>13</v>
      </c>
      <c r="F14" s="114" t="s">
        <v>13</v>
      </c>
      <c r="G14" s="114" t="s">
        <v>13</v>
      </c>
      <c r="H14" s="114" t="s">
        <v>13</v>
      </c>
      <c r="I14" s="114" t="s">
        <v>13</v>
      </c>
      <c r="J14" s="195" t="s">
        <v>13</v>
      </c>
      <c r="K14" s="93">
        <f>IF(I14&lt;0.0451,0.0451/I14,0)</f>
        <v>0</v>
      </c>
      <c r="L14" s="96" t="str">
        <f>VLOOKUP(A14,'IP Collections'!B13:K76,10,FALSE)</f>
        <v>NULL</v>
      </c>
      <c r="M14" s="96" t="str">
        <f t="shared" ref="M14:M45" si="2">IF(K14&gt;0,L14*K14,L14)</f>
        <v>NULL</v>
      </c>
      <c r="N14" s="94"/>
    </row>
    <row r="15" spans="1:14" x14ac:dyDescent="0.25">
      <c r="A15" s="94" t="s">
        <v>275</v>
      </c>
      <c r="B15" s="94" t="s">
        <v>274</v>
      </c>
      <c r="C15" s="94" t="s">
        <v>21</v>
      </c>
      <c r="D15" s="114">
        <v>2.6644915715062535E-2</v>
      </c>
      <c r="E15" s="114">
        <v>2.8014616321559074E-2</v>
      </c>
      <c r="F15" s="114">
        <v>2.883720930232558E-2</v>
      </c>
      <c r="G15" s="114">
        <v>2.4881889763779527E-2</v>
      </c>
      <c r="H15" s="114">
        <v>3.4024627349319506E-2</v>
      </c>
      <c r="I15" s="114">
        <v>3.2258064516129031E-2</v>
      </c>
      <c r="J15" s="195">
        <v>2.0712510356255178E-2</v>
      </c>
      <c r="K15" s="93">
        <f>IF(J15&lt;J$69,J$69/J15,0)</f>
        <v>2.2613306542338845</v>
      </c>
      <c r="L15" s="96">
        <f>VLOOKUP(A15,'IP Collections'!B14:K77,10,FALSE)</f>
        <v>182718.14</v>
      </c>
      <c r="M15" s="96">
        <f t="shared" si="2"/>
        <v>413186.13106659852</v>
      </c>
      <c r="N15" s="94"/>
    </row>
    <row r="16" spans="1:14" x14ac:dyDescent="0.25">
      <c r="A16" s="94" t="s">
        <v>273</v>
      </c>
      <c r="B16" s="94" t="s">
        <v>272</v>
      </c>
      <c r="C16" s="94" t="s">
        <v>12</v>
      </c>
      <c r="D16" s="114" t="s">
        <v>13</v>
      </c>
      <c r="E16" s="114" t="s">
        <v>13</v>
      </c>
      <c r="F16" s="114" t="s">
        <v>13</v>
      </c>
      <c r="G16" s="114" t="s">
        <v>13</v>
      </c>
      <c r="H16" s="114" t="s">
        <v>13</v>
      </c>
      <c r="I16" s="114" t="s">
        <v>13</v>
      </c>
      <c r="J16" s="195" t="s">
        <v>13</v>
      </c>
      <c r="K16" s="93">
        <f t="shared" ref="K16:K68" si="3">IF(J16&lt;J$69,J$69/J16,0)</f>
        <v>0</v>
      </c>
      <c r="L16" s="96" t="str">
        <f>VLOOKUP(A16,'IP Collections'!B15:K78,10,FALSE)</f>
        <v>NULL</v>
      </c>
      <c r="M16" s="96" t="str">
        <f t="shared" si="2"/>
        <v>NULL</v>
      </c>
      <c r="N16" s="94"/>
    </row>
    <row r="17" spans="1:14" x14ac:dyDescent="0.25">
      <c r="A17" s="94" t="s">
        <v>271</v>
      </c>
      <c r="B17" s="94" t="s">
        <v>270</v>
      </c>
      <c r="C17" s="94" t="s">
        <v>12</v>
      </c>
      <c r="D17" s="114" t="s">
        <v>13</v>
      </c>
      <c r="E17" s="114" t="s">
        <v>13</v>
      </c>
      <c r="F17" s="114" t="s">
        <v>13</v>
      </c>
      <c r="G17" s="114" t="s">
        <v>13</v>
      </c>
      <c r="H17" s="114" t="s">
        <v>13</v>
      </c>
      <c r="I17" s="114" t="s">
        <v>13</v>
      </c>
      <c r="J17" s="196" t="s">
        <v>13</v>
      </c>
      <c r="K17" s="93">
        <f t="shared" si="3"/>
        <v>0</v>
      </c>
      <c r="L17" s="96" t="str">
        <f>VLOOKUP(A17,'IP Collections'!B16:K79,10,FALSE)</f>
        <v>NULL</v>
      </c>
      <c r="M17" s="96" t="str">
        <f t="shared" si="2"/>
        <v>NULL</v>
      </c>
      <c r="N17" s="94"/>
    </row>
    <row r="18" spans="1:14" x14ac:dyDescent="0.25">
      <c r="A18" s="94" t="s">
        <v>269</v>
      </c>
      <c r="B18" s="94" t="s">
        <v>268</v>
      </c>
      <c r="C18" s="94" t="s">
        <v>12</v>
      </c>
      <c r="D18" s="114" t="s">
        <v>13</v>
      </c>
      <c r="E18" s="114" t="s">
        <v>13</v>
      </c>
      <c r="F18" s="114" t="s">
        <v>13</v>
      </c>
      <c r="G18" s="114" t="s">
        <v>13</v>
      </c>
      <c r="H18" s="114" t="s">
        <v>13</v>
      </c>
      <c r="I18" s="114" t="s">
        <v>13</v>
      </c>
      <c r="J18" s="195" t="s">
        <v>13</v>
      </c>
      <c r="K18" s="93">
        <f t="shared" si="3"/>
        <v>0</v>
      </c>
      <c r="L18" s="96" t="str">
        <f>VLOOKUP(A18,'IP Collections'!B17:K80,10,FALSE)</f>
        <v>NULL</v>
      </c>
      <c r="M18" s="96" t="str">
        <f t="shared" si="2"/>
        <v>NULL</v>
      </c>
      <c r="N18" s="94"/>
    </row>
    <row r="19" spans="1:14" x14ac:dyDescent="0.25">
      <c r="A19" s="94" t="s">
        <v>267</v>
      </c>
      <c r="B19" s="94" t="s">
        <v>266</v>
      </c>
      <c r="C19" s="94" t="s">
        <v>12</v>
      </c>
      <c r="D19" s="114" t="s">
        <v>13</v>
      </c>
      <c r="E19" s="114" t="s">
        <v>13</v>
      </c>
      <c r="F19" s="114" t="s">
        <v>13</v>
      </c>
      <c r="G19" s="114" t="s">
        <v>13</v>
      </c>
      <c r="H19" s="114" t="s">
        <v>13</v>
      </c>
      <c r="I19" s="114" t="s">
        <v>13</v>
      </c>
      <c r="J19" s="195" t="s">
        <v>13</v>
      </c>
      <c r="K19" s="93">
        <f t="shared" si="3"/>
        <v>0</v>
      </c>
      <c r="L19" s="96" t="str">
        <f>VLOOKUP(A19,'IP Collections'!B18:K81,10,FALSE)</f>
        <v>NULL</v>
      </c>
      <c r="M19" s="96" t="str">
        <f t="shared" si="2"/>
        <v>NULL</v>
      </c>
      <c r="N19" s="94"/>
    </row>
    <row r="20" spans="1:14" x14ac:dyDescent="0.25">
      <c r="A20" s="94" t="s">
        <v>265</v>
      </c>
      <c r="B20" s="94" t="s">
        <v>264</v>
      </c>
      <c r="C20" s="94" t="s">
        <v>12</v>
      </c>
      <c r="D20" s="114" t="s">
        <v>13</v>
      </c>
      <c r="E20" s="114" t="s">
        <v>13</v>
      </c>
      <c r="F20" s="114" t="s">
        <v>13</v>
      </c>
      <c r="G20" s="114" t="s">
        <v>13</v>
      </c>
      <c r="H20" s="114" t="s">
        <v>13</v>
      </c>
      <c r="I20" s="114" t="s">
        <v>13</v>
      </c>
      <c r="J20" s="195" t="s">
        <v>13</v>
      </c>
      <c r="K20" s="93">
        <f t="shared" si="3"/>
        <v>0</v>
      </c>
      <c r="L20" s="96" t="str">
        <f>VLOOKUP(A20,'IP Collections'!B19:K82,10,FALSE)</f>
        <v>NULL</v>
      </c>
      <c r="M20" s="96" t="str">
        <f t="shared" si="2"/>
        <v>NULL</v>
      </c>
      <c r="N20" s="94"/>
    </row>
    <row r="21" spans="1:14" s="36" customFormat="1" x14ac:dyDescent="0.25">
      <c r="A21" s="36" t="s">
        <v>263</v>
      </c>
      <c r="B21" s="36" t="s">
        <v>262</v>
      </c>
      <c r="C21" s="36" t="s">
        <v>21</v>
      </c>
      <c r="D21" s="208">
        <v>2.748091603053435E-2</v>
      </c>
      <c r="E21" s="208">
        <v>3.0201342281879196E-2</v>
      </c>
      <c r="F21" s="208">
        <v>3.6637931034482756E-2</v>
      </c>
      <c r="G21" s="208">
        <v>9.8039215686274508E-3</v>
      </c>
      <c r="H21" s="208">
        <v>1.9011406844106463E-2</v>
      </c>
      <c r="I21" s="208">
        <v>1.4492753623188406E-2</v>
      </c>
      <c r="J21" s="209"/>
      <c r="K21" s="93"/>
      <c r="L21" s="168">
        <f>VLOOKUP(A21,'IP Collections'!B20:K83,10,FALSE)</f>
        <v>958.97</v>
      </c>
      <c r="M21" s="168"/>
    </row>
    <row r="22" spans="1:14" x14ac:dyDescent="0.25">
      <c r="A22" s="94" t="s">
        <v>261</v>
      </c>
      <c r="B22" s="94" t="s">
        <v>260</v>
      </c>
      <c r="C22" s="94" t="s">
        <v>12</v>
      </c>
      <c r="D22" s="114" t="s">
        <v>13</v>
      </c>
      <c r="E22" s="114" t="s">
        <v>13</v>
      </c>
      <c r="F22" s="114" t="s">
        <v>13</v>
      </c>
      <c r="G22" s="114" t="s">
        <v>13</v>
      </c>
      <c r="H22" s="114" t="s">
        <v>13</v>
      </c>
      <c r="I22" s="114" t="s">
        <v>13</v>
      </c>
      <c r="J22" s="195" t="s">
        <v>13</v>
      </c>
      <c r="K22" s="93">
        <f t="shared" si="3"/>
        <v>0</v>
      </c>
      <c r="L22" s="96" t="str">
        <f>VLOOKUP(A22,'IP Collections'!B21:K84,10,FALSE)</f>
        <v>NULL</v>
      </c>
      <c r="M22" s="96" t="str">
        <f t="shared" si="2"/>
        <v>NULL</v>
      </c>
      <c r="N22" s="94"/>
    </row>
    <row r="23" spans="1:14" x14ac:dyDescent="0.25">
      <c r="A23" s="94" t="s">
        <v>259</v>
      </c>
      <c r="B23" s="94" t="s">
        <v>258</v>
      </c>
      <c r="C23" s="94" t="s">
        <v>12</v>
      </c>
      <c r="D23" s="114" t="s">
        <v>13</v>
      </c>
      <c r="E23" s="114" t="s">
        <v>13</v>
      </c>
      <c r="F23" s="114" t="s">
        <v>13</v>
      </c>
      <c r="G23" s="114" t="s">
        <v>13</v>
      </c>
      <c r="H23" s="114" t="s">
        <v>13</v>
      </c>
      <c r="I23" s="114" t="s">
        <v>13</v>
      </c>
      <c r="J23" s="195" t="s">
        <v>13</v>
      </c>
      <c r="K23" s="93">
        <f t="shared" si="3"/>
        <v>0</v>
      </c>
      <c r="L23" s="96" t="str">
        <f>VLOOKUP(A23,'IP Collections'!B22:K85,10,FALSE)</f>
        <v>NULL</v>
      </c>
      <c r="M23" s="96" t="str">
        <f t="shared" si="2"/>
        <v>NULL</v>
      </c>
      <c r="N23" s="94"/>
    </row>
    <row r="24" spans="1:14" x14ac:dyDescent="0.25">
      <c r="A24" s="94" t="s">
        <v>257</v>
      </c>
      <c r="B24" s="94" t="s">
        <v>256</v>
      </c>
      <c r="C24" s="94" t="s">
        <v>12</v>
      </c>
      <c r="D24" s="114" t="s">
        <v>13</v>
      </c>
      <c r="E24" s="114" t="s">
        <v>13</v>
      </c>
      <c r="F24" s="114" t="s">
        <v>13</v>
      </c>
      <c r="G24" s="114" t="s">
        <v>13</v>
      </c>
      <c r="H24" s="114" t="s">
        <v>13</v>
      </c>
      <c r="I24" s="114" t="s">
        <v>13</v>
      </c>
      <c r="J24" s="195" t="s">
        <v>13</v>
      </c>
      <c r="K24" s="93">
        <f t="shared" si="3"/>
        <v>0</v>
      </c>
      <c r="L24" s="96" t="str">
        <f>VLOOKUP(A24,'IP Collections'!B23:K86,10,FALSE)</f>
        <v>NULL</v>
      </c>
      <c r="M24" s="96" t="str">
        <f t="shared" si="2"/>
        <v>NULL</v>
      </c>
      <c r="N24" s="94"/>
    </row>
    <row r="25" spans="1:14" s="36" customFormat="1" x14ac:dyDescent="0.25">
      <c r="A25" s="36" t="s">
        <v>255</v>
      </c>
      <c r="B25" s="36" t="s">
        <v>254</v>
      </c>
      <c r="C25" s="36" t="s">
        <v>21</v>
      </c>
      <c r="D25" s="208">
        <v>6.2854442344045372E-2</v>
      </c>
      <c r="E25" s="208">
        <v>8.5187539732994283E-2</v>
      </c>
      <c r="F25" s="208">
        <v>2.6943005181347152E-2</v>
      </c>
      <c r="G25" s="208">
        <v>5.6359482102056359E-2</v>
      </c>
      <c r="H25" s="208">
        <v>9.9889012208657049E-2</v>
      </c>
      <c r="I25" s="208">
        <v>9.9576271186440676E-2</v>
      </c>
      <c r="J25" s="209"/>
      <c r="K25" s="167"/>
      <c r="L25" s="168">
        <f>VLOOKUP(A25,'IP Collections'!B24:K87,10,FALSE)</f>
        <v>57521.45</v>
      </c>
      <c r="M25" s="168"/>
    </row>
    <row r="26" spans="1:14" x14ac:dyDescent="0.25">
      <c r="A26" s="94" t="s">
        <v>253</v>
      </c>
      <c r="B26" s="94" t="s">
        <v>252</v>
      </c>
      <c r="C26" s="94" t="s">
        <v>21</v>
      </c>
      <c r="D26" s="114">
        <v>9.8360655737704916E-2</v>
      </c>
      <c r="E26" s="114">
        <v>2.865329512893983E-2</v>
      </c>
      <c r="F26" s="114">
        <v>3.7629350893697081E-2</v>
      </c>
      <c r="G26" s="114">
        <v>2.8203062046736505E-2</v>
      </c>
      <c r="H26" s="114">
        <v>2.9391424619640387E-2</v>
      </c>
      <c r="I26" s="114">
        <v>4.5439131909121737E-2</v>
      </c>
      <c r="J26" s="195">
        <v>4.534075104311544E-2</v>
      </c>
      <c r="K26" s="93">
        <f t="shared" si="3"/>
        <v>1.0330184991906637</v>
      </c>
      <c r="L26" s="96">
        <f>VLOOKUP(A26,'IP Collections'!B25:K88,10,FALSE)</f>
        <v>798730.07</v>
      </c>
      <c r="M26" s="96">
        <f t="shared" si="2"/>
        <v>825102.93816985365</v>
      </c>
      <c r="N26" s="94"/>
    </row>
    <row r="27" spans="1:14" x14ac:dyDescent="0.25">
      <c r="A27" s="94" t="s">
        <v>251</v>
      </c>
      <c r="B27" s="94" t="s">
        <v>250</v>
      </c>
      <c r="C27" s="94" t="s">
        <v>12</v>
      </c>
      <c r="D27" s="114" t="s">
        <v>13</v>
      </c>
      <c r="E27" s="114" t="s">
        <v>13</v>
      </c>
      <c r="F27" s="114" t="s">
        <v>13</v>
      </c>
      <c r="G27" s="114" t="s">
        <v>13</v>
      </c>
      <c r="H27" s="114" t="s">
        <v>13</v>
      </c>
      <c r="I27" s="114" t="s">
        <v>13</v>
      </c>
      <c r="J27" s="195" t="s">
        <v>13</v>
      </c>
      <c r="K27" s="93">
        <f t="shared" si="3"/>
        <v>0</v>
      </c>
      <c r="L27" s="96" t="str">
        <f>VLOOKUP(A27,'IP Collections'!B26:K89,10,FALSE)</f>
        <v>NULL</v>
      </c>
      <c r="M27" s="96" t="str">
        <f t="shared" si="2"/>
        <v>NULL</v>
      </c>
      <c r="N27" s="94"/>
    </row>
    <row r="28" spans="1:14" x14ac:dyDescent="0.25">
      <c r="A28" s="94" t="s">
        <v>249</v>
      </c>
      <c r="B28" s="94" t="s">
        <v>248</v>
      </c>
      <c r="C28" s="94" t="s">
        <v>12</v>
      </c>
      <c r="D28" s="114" t="s">
        <v>13</v>
      </c>
      <c r="E28" s="114" t="s">
        <v>13</v>
      </c>
      <c r="F28" s="114" t="s">
        <v>13</v>
      </c>
      <c r="G28" s="114" t="s">
        <v>13</v>
      </c>
      <c r="H28" s="114" t="s">
        <v>13</v>
      </c>
      <c r="I28" s="114" t="s">
        <v>13</v>
      </c>
      <c r="J28" s="195" t="s">
        <v>13</v>
      </c>
      <c r="K28" s="93">
        <f t="shared" si="3"/>
        <v>0</v>
      </c>
      <c r="L28" s="96" t="str">
        <f>VLOOKUP(A28,'IP Collections'!B27:K90,10,FALSE)</f>
        <v>NULL</v>
      </c>
      <c r="M28" s="96" t="str">
        <f t="shared" si="2"/>
        <v>NULL</v>
      </c>
      <c r="N28" s="94"/>
    </row>
    <row r="29" spans="1:14" x14ac:dyDescent="0.25">
      <c r="A29" s="94" t="s">
        <v>247</v>
      </c>
      <c r="B29" s="94" t="s">
        <v>246</v>
      </c>
      <c r="C29" s="94" t="s">
        <v>12</v>
      </c>
      <c r="D29" s="114" t="s">
        <v>13</v>
      </c>
      <c r="E29" s="114" t="s">
        <v>13</v>
      </c>
      <c r="F29" s="114" t="s">
        <v>13</v>
      </c>
      <c r="G29" s="114" t="s">
        <v>13</v>
      </c>
      <c r="H29" s="114" t="s">
        <v>13</v>
      </c>
      <c r="I29" s="114" t="s">
        <v>13</v>
      </c>
      <c r="J29" s="195" t="s">
        <v>13</v>
      </c>
      <c r="K29" s="93">
        <f t="shared" si="3"/>
        <v>0</v>
      </c>
      <c r="L29" s="96" t="str">
        <f>VLOOKUP(A29,'IP Collections'!B28:K91,10,FALSE)</f>
        <v>NULL</v>
      </c>
      <c r="M29" s="96" t="str">
        <f t="shared" si="2"/>
        <v>NULL</v>
      </c>
      <c r="N29" s="94"/>
    </row>
    <row r="30" spans="1:14" x14ac:dyDescent="0.25">
      <c r="A30" s="94" t="s">
        <v>245</v>
      </c>
      <c r="B30" s="94" t="s">
        <v>244</v>
      </c>
      <c r="C30" s="94" t="s">
        <v>12</v>
      </c>
      <c r="D30" s="114" t="s">
        <v>13</v>
      </c>
      <c r="E30" s="114" t="s">
        <v>13</v>
      </c>
      <c r="F30" s="114" t="s">
        <v>13</v>
      </c>
      <c r="G30" s="114" t="s">
        <v>13</v>
      </c>
      <c r="H30" s="114" t="s">
        <v>13</v>
      </c>
      <c r="I30" s="114" t="s">
        <v>13</v>
      </c>
      <c r="J30" s="196" t="s">
        <v>13</v>
      </c>
      <c r="K30" s="93">
        <f t="shared" si="3"/>
        <v>0</v>
      </c>
      <c r="L30" s="96" t="str">
        <f>VLOOKUP(A30,'IP Collections'!B29:K92,10,FALSE)</f>
        <v>NULL</v>
      </c>
      <c r="M30" s="96" t="str">
        <f t="shared" si="2"/>
        <v>NULL</v>
      </c>
      <c r="N30" s="94"/>
    </row>
    <row r="31" spans="1:14" x14ac:dyDescent="0.25">
      <c r="A31" s="94" t="s">
        <v>243</v>
      </c>
      <c r="B31" s="94" t="s">
        <v>242</v>
      </c>
      <c r="C31" s="94" t="s">
        <v>21</v>
      </c>
      <c r="D31" s="114">
        <v>4.2150038669760248E-2</v>
      </c>
      <c r="E31" s="114">
        <v>4.0260268401789347E-2</v>
      </c>
      <c r="F31" s="114">
        <v>3.7417763157894739E-2</v>
      </c>
      <c r="G31" s="114">
        <v>5.2820697089471791E-2</v>
      </c>
      <c r="H31" s="114">
        <v>4.7337278106508875E-2</v>
      </c>
      <c r="I31" s="114">
        <v>4.2406015037593982E-2</v>
      </c>
      <c r="J31" s="195">
        <v>4.949010197960408E-2</v>
      </c>
      <c r="K31" s="93">
        <f t="shared" si="3"/>
        <v>0</v>
      </c>
      <c r="L31" s="96">
        <f>VLOOKUP(A31,'IP Collections'!B30:K93,10,FALSE)</f>
        <v>607968.57999999996</v>
      </c>
      <c r="M31" s="96">
        <f t="shared" si="2"/>
        <v>607968.57999999996</v>
      </c>
      <c r="N31" s="94"/>
    </row>
    <row r="32" spans="1:14" x14ac:dyDescent="0.25">
      <c r="A32" s="94" t="s">
        <v>241</v>
      </c>
      <c r="B32" s="94" t="s">
        <v>240</v>
      </c>
      <c r="C32" s="94" t="s">
        <v>12</v>
      </c>
      <c r="D32" s="114" t="s">
        <v>13</v>
      </c>
      <c r="E32" s="114" t="s">
        <v>13</v>
      </c>
      <c r="F32" s="114" t="s">
        <v>13</v>
      </c>
      <c r="G32" s="114" t="s">
        <v>13</v>
      </c>
      <c r="H32" s="114" t="s">
        <v>13</v>
      </c>
      <c r="I32" s="114" t="s">
        <v>13</v>
      </c>
      <c r="J32" s="195" t="s">
        <v>13</v>
      </c>
      <c r="K32" s="93">
        <f t="shared" si="3"/>
        <v>0</v>
      </c>
      <c r="L32" s="96" t="str">
        <f>VLOOKUP(A32,'IP Collections'!B31:K94,10,FALSE)</f>
        <v>NULL</v>
      </c>
      <c r="M32" s="96" t="str">
        <f t="shared" si="2"/>
        <v>NULL</v>
      </c>
      <c r="N32" s="94"/>
    </row>
    <row r="33" spans="1:14" x14ac:dyDescent="0.25">
      <c r="A33" s="94" t="s">
        <v>239</v>
      </c>
      <c r="B33" s="94" t="s">
        <v>238</v>
      </c>
      <c r="C33" s="94" t="s">
        <v>12</v>
      </c>
      <c r="D33" s="114" t="s">
        <v>13</v>
      </c>
      <c r="E33" s="114" t="s">
        <v>13</v>
      </c>
      <c r="F33" s="114" t="s">
        <v>13</v>
      </c>
      <c r="G33" s="114" t="s">
        <v>13</v>
      </c>
      <c r="H33" s="114" t="s">
        <v>13</v>
      </c>
      <c r="I33" s="114" t="s">
        <v>13</v>
      </c>
      <c r="J33" s="195" t="s">
        <v>13</v>
      </c>
      <c r="K33" s="93">
        <f t="shared" si="3"/>
        <v>0</v>
      </c>
      <c r="L33" s="96" t="str">
        <f>VLOOKUP(A33,'IP Collections'!B32:K95,10,FALSE)</f>
        <v>NULL</v>
      </c>
      <c r="M33" s="96" t="str">
        <f t="shared" si="2"/>
        <v>NULL</v>
      </c>
      <c r="N33" s="94"/>
    </row>
    <row r="34" spans="1:14" x14ac:dyDescent="0.25">
      <c r="A34" s="94" t="s">
        <v>237</v>
      </c>
      <c r="B34" s="94" t="s">
        <v>236</v>
      </c>
      <c r="C34" s="94" t="s">
        <v>12</v>
      </c>
      <c r="D34" s="114" t="s">
        <v>13</v>
      </c>
      <c r="E34" s="114" t="s">
        <v>13</v>
      </c>
      <c r="F34" s="114" t="s">
        <v>13</v>
      </c>
      <c r="G34" s="114" t="s">
        <v>13</v>
      </c>
      <c r="H34" s="114" t="s">
        <v>13</v>
      </c>
      <c r="I34" s="114" t="s">
        <v>13</v>
      </c>
      <c r="J34" s="195" t="s">
        <v>13</v>
      </c>
      <c r="K34" s="93">
        <f t="shared" si="3"/>
        <v>0</v>
      </c>
      <c r="L34" s="96" t="str">
        <f>VLOOKUP(A34,'IP Collections'!B33:K143,10,FALSE)</f>
        <v>NULL</v>
      </c>
      <c r="M34" s="96" t="str">
        <f t="shared" si="2"/>
        <v>NULL</v>
      </c>
      <c r="N34" s="94"/>
    </row>
    <row r="35" spans="1:14" x14ac:dyDescent="0.25">
      <c r="A35" s="94" t="s">
        <v>235</v>
      </c>
      <c r="B35" s="94" t="s">
        <v>234</v>
      </c>
      <c r="C35" s="94" t="s">
        <v>12</v>
      </c>
      <c r="D35" s="114" t="s">
        <v>13</v>
      </c>
      <c r="E35" s="114" t="s">
        <v>13</v>
      </c>
      <c r="F35" s="114" t="s">
        <v>13</v>
      </c>
      <c r="G35" s="114" t="s">
        <v>13</v>
      </c>
      <c r="H35" s="114" t="s">
        <v>13</v>
      </c>
      <c r="I35" s="114" t="s">
        <v>13</v>
      </c>
      <c r="J35" s="195" t="s">
        <v>13</v>
      </c>
      <c r="K35" s="93">
        <f t="shared" si="3"/>
        <v>0</v>
      </c>
      <c r="L35" s="96" t="str">
        <f>VLOOKUP(A35,'IP Collections'!B34:K96,10,FALSE)</f>
        <v>NULL</v>
      </c>
      <c r="M35" s="96" t="str">
        <f t="shared" si="2"/>
        <v>NULL</v>
      </c>
      <c r="N35" s="94"/>
    </row>
    <row r="36" spans="1:14" x14ac:dyDescent="0.25">
      <c r="A36" s="94" t="s">
        <v>233</v>
      </c>
      <c r="B36" s="94" t="s">
        <v>232</v>
      </c>
      <c r="C36" s="94" t="s">
        <v>12</v>
      </c>
      <c r="D36" s="114" t="s">
        <v>13</v>
      </c>
      <c r="E36" s="114" t="s">
        <v>13</v>
      </c>
      <c r="F36" s="114" t="s">
        <v>13</v>
      </c>
      <c r="G36" s="114" t="s">
        <v>13</v>
      </c>
      <c r="H36" s="114" t="s">
        <v>13</v>
      </c>
      <c r="I36" s="114" t="s">
        <v>13</v>
      </c>
      <c r="J36" s="195" t="s">
        <v>13</v>
      </c>
      <c r="K36" s="93">
        <f t="shared" si="3"/>
        <v>0</v>
      </c>
      <c r="L36" s="96" t="str">
        <f>VLOOKUP(A36,'IP Collections'!B35:K97,10,FALSE)</f>
        <v>NULL</v>
      </c>
      <c r="M36" s="96" t="str">
        <f t="shared" si="2"/>
        <v>NULL</v>
      </c>
      <c r="N36" s="94"/>
    </row>
    <row r="37" spans="1:14" x14ac:dyDescent="0.25">
      <c r="A37" s="94" t="s">
        <v>231</v>
      </c>
      <c r="B37" s="94" t="s">
        <v>230</v>
      </c>
      <c r="C37" s="94" t="s">
        <v>12</v>
      </c>
      <c r="D37" s="114" t="s">
        <v>13</v>
      </c>
      <c r="E37" s="114" t="s">
        <v>13</v>
      </c>
      <c r="F37" s="114" t="s">
        <v>13</v>
      </c>
      <c r="G37" s="114" t="s">
        <v>13</v>
      </c>
      <c r="H37" s="114" t="s">
        <v>13</v>
      </c>
      <c r="I37" s="114" t="s">
        <v>13</v>
      </c>
      <c r="J37" s="195" t="s">
        <v>13</v>
      </c>
      <c r="K37" s="93">
        <f t="shared" si="3"/>
        <v>0</v>
      </c>
      <c r="L37" s="96" t="str">
        <f>VLOOKUP(A37,'IP Collections'!B36:K98,10,FALSE)</f>
        <v>NULL</v>
      </c>
      <c r="M37" s="96" t="str">
        <f t="shared" si="2"/>
        <v>NULL</v>
      </c>
      <c r="N37" s="94"/>
    </row>
    <row r="38" spans="1:14" x14ac:dyDescent="0.25">
      <c r="A38" s="94" t="s">
        <v>229</v>
      </c>
      <c r="B38" s="94" t="s">
        <v>228</v>
      </c>
      <c r="C38" s="94" t="s">
        <v>21</v>
      </c>
      <c r="D38" s="114">
        <v>7.8598484848484848E-2</v>
      </c>
      <c r="E38" s="114">
        <v>0.10476190476190476</v>
      </c>
      <c r="F38" s="114">
        <v>0.10987172336865589</v>
      </c>
      <c r="G38" s="114">
        <v>0.11081153949851712</v>
      </c>
      <c r="H38" s="114">
        <v>0.10326873011281458</v>
      </c>
      <c r="I38" s="114">
        <v>8.7593257806023769E-2</v>
      </c>
      <c r="J38" s="195">
        <v>9.4111172261970286E-2</v>
      </c>
      <c r="K38" s="93">
        <f t="shared" si="3"/>
        <v>0</v>
      </c>
      <c r="L38" s="96">
        <f>VLOOKUP(A38,'IP Collections'!B37:K99,10,FALSE)</f>
        <v>1780111.95</v>
      </c>
      <c r="M38" s="96">
        <f t="shared" si="2"/>
        <v>1780111.95</v>
      </c>
      <c r="N38" s="94"/>
    </row>
    <row r="39" spans="1:14" x14ac:dyDescent="0.25">
      <c r="A39" s="94" t="s">
        <v>227</v>
      </c>
      <c r="B39" s="94" t="s">
        <v>226</v>
      </c>
      <c r="C39" s="94" t="s">
        <v>12</v>
      </c>
      <c r="D39" s="114" t="s">
        <v>13</v>
      </c>
      <c r="E39" s="114" t="s">
        <v>13</v>
      </c>
      <c r="F39" s="114" t="s">
        <v>13</v>
      </c>
      <c r="G39" s="114" t="s">
        <v>13</v>
      </c>
      <c r="H39" s="114" t="s">
        <v>13</v>
      </c>
      <c r="I39" s="114" t="s">
        <v>13</v>
      </c>
      <c r="J39" s="195" t="s">
        <v>13</v>
      </c>
      <c r="K39" s="93">
        <f t="shared" si="3"/>
        <v>0</v>
      </c>
      <c r="L39" s="96" t="str">
        <f>VLOOKUP(A39,'IP Collections'!B38:K100,10,FALSE)</f>
        <v>NULL</v>
      </c>
      <c r="M39" s="96" t="str">
        <f t="shared" si="2"/>
        <v>NULL</v>
      </c>
      <c r="N39" s="94"/>
    </row>
    <row r="40" spans="1:14" x14ac:dyDescent="0.25">
      <c r="A40" s="94" t="s">
        <v>225</v>
      </c>
      <c r="B40" s="94" t="s">
        <v>224</v>
      </c>
      <c r="C40" s="94" t="s">
        <v>12</v>
      </c>
      <c r="D40" s="114" t="s">
        <v>13</v>
      </c>
      <c r="E40" s="114" t="s">
        <v>13</v>
      </c>
      <c r="F40" s="114" t="s">
        <v>13</v>
      </c>
      <c r="G40" s="114" t="s">
        <v>13</v>
      </c>
      <c r="H40" s="114" t="s">
        <v>13</v>
      </c>
      <c r="I40" s="114" t="s">
        <v>13</v>
      </c>
      <c r="J40" s="195" t="s">
        <v>13</v>
      </c>
      <c r="K40" s="93">
        <f t="shared" si="3"/>
        <v>0</v>
      </c>
      <c r="L40" s="96" t="str">
        <f>VLOOKUP(A40,'IP Collections'!B39:K101,10,FALSE)</f>
        <v>NULL</v>
      </c>
      <c r="M40" s="96" t="str">
        <f t="shared" si="2"/>
        <v>NULL</v>
      </c>
      <c r="N40" s="94"/>
    </row>
    <row r="41" spans="1:14" x14ac:dyDescent="0.25">
      <c r="A41" s="94" t="s">
        <v>223</v>
      </c>
      <c r="B41" s="94" t="s">
        <v>222</v>
      </c>
      <c r="C41" s="94" t="s">
        <v>12</v>
      </c>
      <c r="D41" s="114" t="s">
        <v>13</v>
      </c>
      <c r="E41" s="114" t="s">
        <v>13</v>
      </c>
      <c r="F41" s="114" t="s">
        <v>13</v>
      </c>
      <c r="G41" s="114" t="s">
        <v>13</v>
      </c>
      <c r="H41" s="114" t="s">
        <v>13</v>
      </c>
      <c r="I41" s="114" t="s">
        <v>13</v>
      </c>
      <c r="J41" s="195" t="s">
        <v>13</v>
      </c>
      <c r="K41" s="93">
        <f t="shared" si="3"/>
        <v>0</v>
      </c>
      <c r="L41" s="96" t="str">
        <f>VLOOKUP(A41,'IP Collections'!B40:K102,10,FALSE)</f>
        <v>NULL</v>
      </c>
      <c r="M41" s="96" t="str">
        <f t="shared" si="2"/>
        <v>NULL</v>
      </c>
      <c r="N41" s="94"/>
    </row>
    <row r="42" spans="1:14" x14ac:dyDescent="0.25">
      <c r="A42" s="94" t="s">
        <v>221</v>
      </c>
      <c r="B42" s="94" t="s">
        <v>220</v>
      </c>
      <c r="C42" s="94" t="s">
        <v>12</v>
      </c>
      <c r="D42" s="114" t="s">
        <v>13</v>
      </c>
      <c r="E42" s="114" t="s">
        <v>13</v>
      </c>
      <c r="F42" s="114" t="s">
        <v>13</v>
      </c>
      <c r="G42" s="114" t="s">
        <v>13</v>
      </c>
      <c r="H42" s="114" t="s">
        <v>13</v>
      </c>
      <c r="I42" s="114" t="s">
        <v>13</v>
      </c>
      <c r="J42" s="195" t="s">
        <v>13</v>
      </c>
      <c r="K42" s="93">
        <f t="shared" si="3"/>
        <v>0</v>
      </c>
      <c r="L42" s="96" t="str">
        <f>VLOOKUP(A42,'IP Collections'!B41:K103,10,FALSE)</f>
        <v>NULL</v>
      </c>
      <c r="M42" s="96" t="str">
        <f t="shared" si="2"/>
        <v>NULL</v>
      </c>
      <c r="N42" s="94"/>
    </row>
    <row r="43" spans="1:14" x14ac:dyDescent="0.25">
      <c r="A43" s="94" t="s">
        <v>219</v>
      </c>
      <c r="B43" s="94" t="s">
        <v>218</v>
      </c>
      <c r="C43" s="94" t="s">
        <v>12</v>
      </c>
      <c r="D43" s="114" t="s">
        <v>13</v>
      </c>
      <c r="E43" s="114" t="s">
        <v>13</v>
      </c>
      <c r="F43" s="114" t="s">
        <v>13</v>
      </c>
      <c r="G43" s="114" t="s">
        <v>13</v>
      </c>
      <c r="H43" s="114" t="s">
        <v>13</v>
      </c>
      <c r="I43" s="114" t="s">
        <v>13</v>
      </c>
      <c r="J43" s="195" t="s">
        <v>13</v>
      </c>
      <c r="K43" s="93">
        <f t="shared" si="3"/>
        <v>0</v>
      </c>
      <c r="L43" s="96" t="str">
        <f>VLOOKUP(A43,'IP Collections'!B42:K104,10,FALSE)</f>
        <v>NULL</v>
      </c>
      <c r="M43" s="96" t="str">
        <f t="shared" si="2"/>
        <v>NULL</v>
      </c>
      <c r="N43" s="94"/>
    </row>
    <row r="44" spans="1:14" x14ac:dyDescent="0.25">
      <c r="A44" s="94" t="s">
        <v>217</v>
      </c>
      <c r="B44" s="94" t="s">
        <v>216</v>
      </c>
      <c r="C44" s="94" t="s">
        <v>12</v>
      </c>
      <c r="D44" s="114" t="s">
        <v>13</v>
      </c>
      <c r="E44" s="114" t="s">
        <v>13</v>
      </c>
      <c r="F44" s="114" t="s">
        <v>13</v>
      </c>
      <c r="G44" s="114" t="s">
        <v>13</v>
      </c>
      <c r="H44" s="114" t="s">
        <v>13</v>
      </c>
      <c r="I44" s="114" t="s">
        <v>13</v>
      </c>
      <c r="J44" s="195" t="s">
        <v>13</v>
      </c>
      <c r="K44" s="93">
        <f t="shared" si="3"/>
        <v>0</v>
      </c>
      <c r="L44" s="96" t="str">
        <f>VLOOKUP(A44,'IP Collections'!B43:K105,10,FALSE)</f>
        <v>NULL</v>
      </c>
      <c r="M44" s="96" t="str">
        <f t="shared" si="2"/>
        <v>NULL</v>
      </c>
      <c r="N44" s="94"/>
    </row>
    <row r="45" spans="1:14" x14ac:dyDescent="0.25">
      <c r="A45" s="94" t="s">
        <v>215</v>
      </c>
      <c r="B45" s="94" t="s">
        <v>214</v>
      </c>
      <c r="C45" s="94" t="s">
        <v>12</v>
      </c>
      <c r="D45" s="114" t="s">
        <v>13</v>
      </c>
      <c r="E45" s="114" t="s">
        <v>13</v>
      </c>
      <c r="F45" s="114" t="s">
        <v>13</v>
      </c>
      <c r="G45" s="114" t="s">
        <v>13</v>
      </c>
      <c r="H45" s="114" t="s">
        <v>13</v>
      </c>
      <c r="I45" s="114" t="s">
        <v>13</v>
      </c>
      <c r="J45" s="195" t="s">
        <v>13</v>
      </c>
      <c r="K45" s="93">
        <f t="shared" si="3"/>
        <v>0</v>
      </c>
      <c r="L45" s="96" t="str">
        <f>VLOOKUP(A45,'IP Collections'!B44:K106,10,FALSE)</f>
        <v>NULL</v>
      </c>
      <c r="M45" s="96" t="str">
        <f t="shared" si="2"/>
        <v>NULL</v>
      </c>
      <c r="N45" s="94"/>
    </row>
    <row r="46" spans="1:14" s="36" customFormat="1" x14ac:dyDescent="0.25">
      <c r="A46" s="36" t="s">
        <v>213</v>
      </c>
      <c r="B46" s="36" t="s">
        <v>212</v>
      </c>
      <c r="C46" s="36" t="s">
        <v>21</v>
      </c>
      <c r="D46" s="208">
        <v>3.7337413925019131E-2</v>
      </c>
      <c r="E46" s="208">
        <v>3.8920324208594585E-2</v>
      </c>
      <c r="F46" s="208">
        <v>4.444647257460984E-2</v>
      </c>
      <c r="G46" s="208">
        <v>3.8827130658933465E-2</v>
      </c>
      <c r="H46" s="208">
        <v>4.5219309408670569E-2</v>
      </c>
      <c r="I46" s="208">
        <v>2.663097083274623E-2</v>
      </c>
      <c r="J46" s="209"/>
      <c r="K46" s="93"/>
      <c r="L46" s="168">
        <f>VLOOKUP(A46,'IP Collections'!B45:K107,10,FALSE)</f>
        <v>352691.6</v>
      </c>
      <c r="M46" s="168">
        <v>0</v>
      </c>
    </row>
    <row r="47" spans="1:14" x14ac:dyDescent="0.25">
      <c r="A47" s="94" t="s">
        <v>211</v>
      </c>
      <c r="B47" s="94" t="s">
        <v>210</v>
      </c>
      <c r="C47" s="94" t="s">
        <v>12</v>
      </c>
      <c r="D47" s="114" t="s">
        <v>13</v>
      </c>
      <c r="E47" s="114" t="s">
        <v>13</v>
      </c>
      <c r="F47" s="114" t="s">
        <v>13</v>
      </c>
      <c r="G47" s="114" t="s">
        <v>13</v>
      </c>
      <c r="H47" s="114" t="s">
        <v>13</v>
      </c>
      <c r="I47" s="114" t="s">
        <v>13</v>
      </c>
      <c r="J47" s="195" t="s">
        <v>13</v>
      </c>
      <c r="K47" s="93">
        <f t="shared" si="3"/>
        <v>0</v>
      </c>
      <c r="L47" s="96" t="str">
        <f>VLOOKUP(A47,'IP Collections'!B46:K108,10,FALSE)</f>
        <v>NULL</v>
      </c>
      <c r="M47" s="96" t="str">
        <f t="shared" ref="M47:M68" si="4">IF(K47&gt;0,L47*K47,L47)</f>
        <v>NULL</v>
      </c>
      <c r="N47" s="94"/>
    </row>
    <row r="48" spans="1:14" x14ac:dyDescent="0.25">
      <c r="A48" s="94" t="s">
        <v>209</v>
      </c>
      <c r="B48" s="94" t="s">
        <v>208</v>
      </c>
      <c r="C48" s="94" t="s">
        <v>21</v>
      </c>
      <c r="D48" s="114">
        <v>5.4374691052891744E-3</v>
      </c>
      <c r="E48" s="114">
        <v>7.2007200720072004E-3</v>
      </c>
      <c r="F48" s="114">
        <v>5.2886734244160421E-3</v>
      </c>
      <c r="G48" s="114">
        <v>9.3976932934643313E-3</v>
      </c>
      <c r="H48" s="114">
        <v>4.7355958958168907E-3</v>
      </c>
      <c r="I48" s="114">
        <v>1.1139058569888609E-2</v>
      </c>
      <c r="J48" s="195">
        <v>1.2566641279512566E-2</v>
      </c>
      <c r="K48" s="93">
        <f t="shared" si="3"/>
        <v>3.7271561710841938</v>
      </c>
      <c r="L48" s="96">
        <f>VLOOKUP(A48,'IP Collections'!B47:K109,10,FALSE)</f>
        <v>76059.91</v>
      </c>
      <c r="M48" s="96">
        <f t="shared" si="4"/>
        <v>283487.16292860842</v>
      </c>
      <c r="N48" s="94"/>
    </row>
    <row r="49" spans="1:14" x14ac:dyDescent="0.25">
      <c r="A49" s="94" t="s">
        <v>207</v>
      </c>
      <c r="B49" s="94" t="s">
        <v>206</v>
      </c>
      <c r="C49" s="94" t="s">
        <v>12</v>
      </c>
      <c r="D49" s="94" t="s">
        <v>13</v>
      </c>
      <c r="E49" s="114" t="s">
        <v>13</v>
      </c>
      <c r="F49" s="114" t="s">
        <v>13</v>
      </c>
      <c r="G49" s="114" t="s">
        <v>13</v>
      </c>
      <c r="H49" s="114" t="s">
        <v>13</v>
      </c>
      <c r="I49" s="114" t="s">
        <v>13</v>
      </c>
      <c r="J49" s="195" t="s">
        <v>13</v>
      </c>
      <c r="K49" s="93">
        <f t="shared" si="3"/>
        <v>0</v>
      </c>
      <c r="L49" s="96" t="str">
        <f>VLOOKUP(A49,'IP Collections'!B48:K110,10,FALSE)</f>
        <v>NULL</v>
      </c>
      <c r="M49" s="96" t="str">
        <f t="shared" si="4"/>
        <v>NULL</v>
      </c>
      <c r="N49" s="94"/>
    </row>
    <row r="50" spans="1:14" x14ac:dyDescent="0.25">
      <c r="A50" s="94" t="s">
        <v>205</v>
      </c>
      <c r="B50" s="94" t="s">
        <v>204</v>
      </c>
      <c r="C50" s="94" t="s">
        <v>12</v>
      </c>
      <c r="D50" s="94" t="s">
        <v>13</v>
      </c>
      <c r="E50" s="114" t="s">
        <v>13</v>
      </c>
      <c r="F50" s="114" t="s">
        <v>13</v>
      </c>
      <c r="G50" s="114" t="s">
        <v>13</v>
      </c>
      <c r="H50" s="114" t="s">
        <v>13</v>
      </c>
      <c r="I50" s="114" t="s">
        <v>13</v>
      </c>
      <c r="J50" s="195" t="s">
        <v>13</v>
      </c>
      <c r="K50" s="93">
        <f t="shared" si="3"/>
        <v>0</v>
      </c>
      <c r="L50" s="96" t="str">
        <f>VLOOKUP(A50,'IP Collections'!B49:K111,10,FALSE)</f>
        <v>NULL</v>
      </c>
      <c r="M50" s="96" t="str">
        <f t="shared" si="4"/>
        <v>NULL</v>
      </c>
      <c r="N50" s="94"/>
    </row>
    <row r="51" spans="1:14" x14ac:dyDescent="0.25">
      <c r="A51" s="94" t="s">
        <v>203</v>
      </c>
      <c r="B51" s="94" t="s">
        <v>202</v>
      </c>
      <c r="C51" s="94" t="s">
        <v>12</v>
      </c>
      <c r="D51" s="94" t="s">
        <v>13</v>
      </c>
      <c r="E51" s="114" t="s">
        <v>13</v>
      </c>
      <c r="F51" s="114" t="s">
        <v>13</v>
      </c>
      <c r="G51" s="114" t="s">
        <v>13</v>
      </c>
      <c r="H51" s="114" t="s">
        <v>13</v>
      </c>
      <c r="I51" s="114" t="s">
        <v>13</v>
      </c>
      <c r="J51" s="195" t="s">
        <v>13</v>
      </c>
      <c r="K51" s="93">
        <f t="shared" si="3"/>
        <v>0</v>
      </c>
      <c r="L51" s="96" t="str">
        <f>VLOOKUP(A51,'IP Collections'!B50:K112,10,FALSE)</f>
        <v>NULL</v>
      </c>
      <c r="M51" s="96" t="str">
        <f t="shared" si="4"/>
        <v>NULL</v>
      </c>
      <c r="N51" s="94"/>
    </row>
    <row r="52" spans="1:14" x14ac:dyDescent="0.25">
      <c r="A52" s="94" t="s">
        <v>201</v>
      </c>
      <c r="B52" s="94" t="s">
        <v>200</v>
      </c>
      <c r="C52" s="94" t="s">
        <v>12</v>
      </c>
      <c r="D52" s="94" t="s">
        <v>13</v>
      </c>
      <c r="E52" s="114" t="s">
        <v>13</v>
      </c>
      <c r="F52" s="114" t="s">
        <v>13</v>
      </c>
      <c r="G52" s="114" t="s">
        <v>13</v>
      </c>
      <c r="H52" s="114" t="s">
        <v>13</v>
      </c>
      <c r="I52" s="114" t="s">
        <v>13</v>
      </c>
      <c r="J52" s="195" t="s">
        <v>13</v>
      </c>
      <c r="K52" s="93">
        <f t="shared" si="3"/>
        <v>0</v>
      </c>
      <c r="L52" s="96" t="str">
        <f>VLOOKUP(A52,'IP Collections'!B51:K113,10,FALSE)</f>
        <v>NULL</v>
      </c>
      <c r="M52" s="96" t="str">
        <f t="shared" si="4"/>
        <v>NULL</v>
      </c>
      <c r="N52" s="94"/>
    </row>
    <row r="53" spans="1:14" x14ac:dyDescent="0.25">
      <c r="A53" s="94" t="s">
        <v>199</v>
      </c>
      <c r="B53" s="94" t="s">
        <v>198</v>
      </c>
      <c r="C53" s="94" t="s">
        <v>16</v>
      </c>
      <c r="D53" s="94" t="s">
        <v>13</v>
      </c>
      <c r="E53" s="114" t="s">
        <v>13</v>
      </c>
      <c r="F53" s="114" t="s">
        <v>13</v>
      </c>
      <c r="G53" s="114" t="s">
        <v>13</v>
      </c>
      <c r="H53" s="114" t="s">
        <v>13</v>
      </c>
      <c r="I53" s="114" t="s">
        <v>13</v>
      </c>
      <c r="J53" s="195" t="s">
        <v>13</v>
      </c>
      <c r="K53" s="93">
        <f t="shared" si="3"/>
        <v>0</v>
      </c>
      <c r="L53" s="96" t="str">
        <f>VLOOKUP(A53,'IP Collections'!B52:K114,10,FALSE)</f>
        <v>NULL</v>
      </c>
      <c r="M53" s="96" t="str">
        <f t="shared" si="4"/>
        <v>NULL</v>
      </c>
      <c r="N53" s="94"/>
    </row>
    <row r="54" spans="1:14" x14ac:dyDescent="0.25">
      <c r="A54" s="94" t="s">
        <v>197</v>
      </c>
      <c r="B54" s="94" t="s">
        <v>196</v>
      </c>
      <c r="C54" s="94" t="s">
        <v>12</v>
      </c>
      <c r="D54" s="94" t="s">
        <v>13</v>
      </c>
      <c r="E54" s="114" t="s">
        <v>13</v>
      </c>
      <c r="F54" s="114" t="s">
        <v>13</v>
      </c>
      <c r="G54" s="114" t="s">
        <v>13</v>
      </c>
      <c r="H54" s="114" t="s">
        <v>13</v>
      </c>
      <c r="I54" s="114" t="s">
        <v>13</v>
      </c>
      <c r="J54" s="195" t="s">
        <v>13</v>
      </c>
      <c r="K54" s="93">
        <f t="shared" si="3"/>
        <v>0</v>
      </c>
      <c r="L54" s="96" t="str">
        <f>VLOOKUP(A54,'IP Collections'!B53:K115,10,FALSE)</f>
        <v>NULL</v>
      </c>
      <c r="M54" s="96" t="str">
        <f t="shared" si="4"/>
        <v>NULL</v>
      </c>
      <c r="N54" s="94"/>
    </row>
    <row r="55" spans="1:14" x14ac:dyDescent="0.25">
      <c r="A55" s="94" t="s">
        <v>195</v>
      </c>
      <c r="B55" s="94" t="s">
        <v>194</v>
      </c>
      <c r="C55" s="94" t="s">
        <v>12</v>
      </c>
      <c r="D55" s="94" t="s">
        <v>13</v>
      </c>
      <c r="E55" s="114" t="s">
        <v>13</v>
      </c>
      <c r="F55" s="114" t="s">
        <v>13</v>
      </c>
      <c r="G55" s="114" t="s">
        <v>13</v>
      </c>
      <c r="H55" s="114" t="s">
        <v>13</v>
      </c>
      <c r="I55" s="114" t="s">
        <v>13</v>
      </c>
      <c r="J55" s="195" t="s">
        <v>13</v>
      </c>
      <c r="K55" s="93">
        <f t="shared" si="3"/>
        <v>0</v>
      </c>
      <c r="L55" s="96" t="str">
        <f>VLOOKUP(A55,'IP Collections'!B54:K116,10,FALSE)</f>
        <v>NULL</v>
      </c>
      <c r="M55" s="96" t="str">
        <f t="shared" si="4"/>
        <v>NULL</v>
      </c>
      <c r="N55" s="94"/>
    </row>
    <row r="56" spans="1:14" x14ac:dyDescent="0.25">
      <c r="A56" s="94" t="s">
        <v>193</v>
      </c>
      <c r="B56" s="94" t="s">
        <v>192</v>
      </c>
      <c r="C56" s="94" t="s">
        <v>12</v>
      </c>
      <c r="D56" s="94" t="s">
        <v>13</v>
      </c>
      <c r="E56" s="114" t="s">
        <v>13</v>
      </c>
      <c r="F56" s="114" t="s">
        <v>13</v>
      </c>
      <c r="G56" s="114" t="s">
        <v>13</v>
      </c>
      <c r="H56" s="114" t="s">
        <v>13</v>
      </c>
      <c r="I56" s="114" t="s">
        <v>13</v>
      </c>
      <c r="J56" s="195" t="s">
        <v>13</v>
      </c>
      <c r="K56" s="93">
        <f t="shared" si="3"/>
        <v>0</v>
      </c>
      <c r="L56" s="96" t="str">
        <f>VLOOKUP(A56,'IP Collections'!B55:K117,10,FALSE)</f>
        <v>NULL</v>
      </c>
      <c r="M56" s="96" t="str">
        <f t="shared" si="4"/>
        <v>NULL</v>
      </c>
      <c r="N56" s="94"/>
    </row>
    <row r="57" spans="1:14" x14ac:dyDescent="0.25">
      <c r="A57" s="94" t="s">
        <v>191</v>
      </c>
      <c r="B57" s="94" t="s">
        <v>190</v>
      </c>
      <c r="C57" s="94" t="s">
        <v>12</v>
      </c>
      <c r="D57" s="94" t="s">
        <v>13</v>
      </c>
      <c r="E57" s="114" t="s">
        <v>13</v>
      </c>
      <c r="F57" s="114" t="s">
        <v>13</v>
      </c>
      <c r="G57" s="114" t="s">
        <v>13</v>
      </c>
      <c r="H57" s="114" t="s">
        <v>13</v>
      </c>
      <c r="I57" s="114" t="s">
        <v>13</v>
      </c>
      <c r="J57" s="195" t="s">
        <v>13</v>
      </c>
      <c r="K57" s="93">
        <f t="shared" si="3"/>
        <v>0</v>
      </c>
      <c r="L57" s="96" t="str">
        <f>VLOOKUP(A57,'IP Collections'!B56:K118,10,FALSE)</f>
        <v>NULL</v>
      </c>
      <c r="M57" s="96" t="str">
        <f t="shared" si="4"/>
        <v>NULL</v>
      </c>
      <c r="N57" s="94"/>
    </row>
    <row r="58" spans="1:14" x14ac:dyDescent="0.25">
      <c r="A58" s="94" t="s">
        <v>189</v>
      </c>
      <c r="B58" s="94" t="s">
        <v>188</v>
      </c>
      <c r="C58" s="94" t="s">
        <v>12</v>
      </c>
      <c r="D58" s="94" t="s">
        <v>13</v>
      </c>
      <c r="E58" s="114" t="s">
        <v>13</v>
      </c>
      <c r="F58" s="114" t="s">
        <v>13</v>
      </c>
      <c r="G58" s="114" t="s">
        <v>13</v>
      </c>
      <c r="H58" s="114" t="s">
        <v>13</v>
      </c>
      <c r="I58" s="114" t="s">
        <v>13</v>
      </c>
      <c r="J58" s="195" t="s">
        <v>13</v>
      </c>
      <c r="K58" s="93">
        <f t="shared" si="3"/>
        <v>0</v>
      </c>
      <c r="L58" s="96" t="str">
        <f>VLOOKUP(A58,'IP Collections'!B57:K119,10,FALSE)</f>
        <v>NULL</v>
      </c>
      <c r="M58" s="96" t="str">
        <f t="shared" si="4"/>
        <v>NULL</v>
      </c>
      <c r="N58" s="94"/>
    </row>
    <row r="59" spans="1:14" x14ac:dyDescent="0.25">
      <c r="A59" s="94" t="s">
        <v>187</v>
      </c>
      <c r="B59" s="94" t="s">
        <v>186</v>
      </c>
      <c r="C59" s="94" t="s">
        <v>12</v>
      </c>
      <c r="D59" s="94" t="s">
        <v>13</v>
      </c>
      <c r="E59" s="114" t="s">
        <v>13</v>
      </c>
      <c r="F59" s="114" t="s">
        <v>13</v>
      </c>
      <c r="G59" s="114" t="s">
        <v>13</v>
      </c>
      <c r="H59" s="114" t="s">
        <v>13</v>
      </c>
      <c r="I59" s="114" t="s">
        <v>13</v>
      </c>
      <c r="J59" s="195" t="s">
        <v>13</v>
      </c>
      <c r="K59" s="93">
        <f t="shared" si="3"/>
        <v>0</v>
      </c>
      <c r="L59" s="96" t="str">
        <f>VLOOKUP(A59,'IP Collections'!B58:K120,10,FALSE)</f>
        <v>NULL</v>
      </c>
      <c r="M59" s="96" t="str">
        <f t="shared" si="4"/>
        <v>NULL</v>
      </c>
      <c r="N59" s="94"/>
    </row>
    <row r="60" spans="1:14" x14ac:dyDescent="0.25">
      <c r="A60" s="94" t="s">
        <v>185</v>
      </c>
      <c r="B60" s="94" t="s">
        <v>184</v>
      </c>
      <c r="C60" s="94" t="s">
        <v>12</v>
      </c>
      <c r="D60" s="94" t="s">
        <v>13</v>
      </c>
      <c r="E60" s="114" t="s">
        <v>13</v>
      </c>
      <c r="F60" s="114" t="s">
        <v>13</v>
      </c>
      <c r="G60" s="114" t="s">
        <v>13</v>
      </c>
      <c r="H60" s="114" t="s">
        <v>13</v>
      </c>
      <c r="I60" s="114" t="s">
        <v>13</v>
      </c>
      <c r="J60" s="195" t="s">
        <v>13</v>
      </c>
      <c r="K60" s="93">
        <f t="shared" si="3"/>
        <v>0</v>
      </c>
      <c r="L60" s="96" t="str">
        <f>VLOOKUP(A60,'IP Collections'!B59:K121,10,FALSE)</f>
        <v>NULL</v>
      </c>
      <c r="M60" s="96" t="str">
        <f t="shared" si="4"/>
        <v>NULL</v>
      </c>
      <c r="N60" s="94"/>
    </row>
    <row r="61" spans="1:14" x14ac:dyDescent="0.25">
      <c r="A61" s="94" t="s">
        <v>183</v>
      </c>
      <c r="B61" s="94" t="s">
        <v>182</v>
      </c>
      <c r="C61" s="94" t="s">
        <v>16</v>
      </c>
      <c r="D61" s="94" t="s">
        <v>13</v>
      </c>
      <c r="E61" s="114" t="s">
        <v>13</v>
      </c>
      <c r="F61" s="114" t="s">
        <v>13</v>
      </c>
      <c r="G61" s="114" t="s">
        <v>13</v>
      </c>
      <c r="H61" s="114" t="s">
        <v>13</v>
      </c>
      <c r="I61" s="114" t="s">
        <v>13</v>
      </c>
      <c r="J61" s="195" t="s">
        <v>13</v>
      </c>
      <c r="K61" s="93">
        <f t="shared" si="3"/>
        <v>0</v>
      </c>
      <c r="L61" s="96" t="str">
        <f>VLOOKUP(A61,'IP Collections'!B60:K122,10,FALSE)</f>
        <v>NULL</v>
      </c>
      <c r="M61" s="96" t="str">
        <f t="shared" si="4"/>
        <v>NULL</v>
      </c>
      <c r="N61" s="94"/>
    </row>
    <row r="62" spans="1:14" x14ac:dyDescent="0.25">
      <c r="A62" s="94" t="s">
        <v>181</v>
      </c>
      <c r="B62" s="94" t="s">
        <v>180</v>
      </c>
      <c r="C62" s="94" t="s">
        <v>12</v>
      </c>
      <c r="D62" s="94" t="s">
        <v>13</v>
      </c>
      <c r="E62" s="114" t="s">
        <v>13</v>
      </c>
      <c r="F62" s="114" t="s">
        <v>13</v>
      </c>
      <c r="G62" s="114" t="s">
        <v>13</v>
      </c>
      <c r="H62" s="114" t="s">
        <v>13</v>
      </c>
      <c r="I62" s="114" t="s">
        <v>13</v>
      </c>
      <c r="J62" s="195" t="s">
        <v>13</v>
      </c>
      <c r="K62" s="93">
        <f t="shared" si="3"/>
        <v>0</v>
      </c>
      <c r="L62" s="96" t="str">
        <f>VLOOKUP(A62,'IP Collections'!B61:K144,10,FALSE)</f>
        <v>NULL</v>
      </c>
      <c r="M62" s="96" t="str">
        <f t="shared" si="4"/>
        <v>NULL</v>
      </c>
      <c r="N62" s="94"/>
    </row>
    <row r="63" spans="1:14" x14ac:dyDescent="0.25">
      <c r="A63" s="94" t="s">
        <v>179</v>
      </c>
      <c r="B63" s="94" t="s">
        <v>178</v>
      </c>
      <c r="C63" s="94" t="s">
        <v>16</v>
      </c>
      <c r="D63" s="94" t="s">
        <v>13</v>
      </c>
      <c r="E63" s="114" t="s">
        <v>13</v>
      </c>
      <c r="F63" s="114" t="s">
        <v>13</v>
      </c>
      <c r="G63" s="114" t="s">
        <v>13</v>
      </c>
      <c r="H63" s="114" t="s">
        <v>13</v>
      </c>
      <c r="I63" s="114" t="s">
        <v>13</v>
      </c>
      <c r="J63" s="195" t="s">
        <v>13</v>
      </c>
      <c r="K63" s="93">
        <f t="shared" si="3"/>
        <v>0</v>
      </c>
      <c r="L63" s="96" t="str">
        <f>VLOOKUP(A63,'IP Collections'!B62:K123,10,FALSE)</f>
        <v>NULL</v>
      </c>
      <c r="M63" s="96" t="str">
        <f t="shared" si="4"/>
        <v>NULL</v>
      </c>
      <c r="N63" s="94"/>
    </row>
    <row r="64" spans="1:14" x14ac:dyDescent="0.25">
      <c r="A64" s="94" t="s">
        <v>177</v>
      </c>
      <c r="B64" s="94" t="s">
        <v>176</v>
      </c>
      <c r="C64" s="94" t="s">
        <v>12</v>
      </c>
      <c r="D64" s="94" t="s">
        <v>13</v>
      </c>
      <c r="E64" s="114" t="s">
        <v>13</v>
      </c>
      <c r="F64" s="114" t="s">
        <v>13</v>
      </c>
      <c r="G64" s="114" t="s">
        <v>13</v>
      </c>
      <c r="H64" s="114" t="s">
        <v>13</v>
      </c>
      <c r="I64" s="114" t="s">
        <v>13</v>
      </c>
      <c r="J64" s="195" t="s">
        <v>13</v>
      </c>
      <c r="K64" s="93">
        <f t="shared" si="3"/>
        <v>0</v>
      </c>
      <c r="L64" s="96" t="str">
        <f>VLOOKUP(A64,'IP Collections'!B63:K124,10,FALSE)</f>
        <v>NULL</v>
      </c>
      <c r="M64" s="96" t="str">
        <f t="shared" si="4"/>
        <v>NULL</v>
      </c>
      <c r="N64" s="94"/>
    </row>
    <row r="65" spans="1:14" x14ac:dyDescent="0.25">
      <c r="A65" s="94" t="s">
        <v>175</v>
      </c>
      <c r="B65" s="94" t="s">
        <v>174</v>
      </c>
      <c r="C65" s="94" t="s">
        <v>12</v>
      </c>
      <c r="D65" s="94" t="s">
        <v>13</v>
      </c>
      <c r="E65" s="114" t="s">
        <v>13</v>
      </c>
      <c r="F65" s="114" t="s">
        <v>13</v>
      </c>
      <c r="G65" s="114" t="s">
        <v>13</v>
      </c>
      <c r="H65" s="114" t="s">
        <v>13</v>
      </c>
      <c r="I65" s="114" t="s">
        <v>13</v>
      </c>
      <c r="J65" s="195" t="s">
        <v>13</v>
      </c>
      <c r="K65" s="93">
        <f t="shared" si="3"/>
        <v>0</v>
      </c>
      <c r="L65" s="96" t="str">
        <f>VLOOKUP(A65,'IP Collections'!B64:K125,10,FALSE)</f>
        <v>NULL</v>
      </c>
      <c r="M65" s="96" t="str">
        <f t="shared" si="4"/>
        <v>NULL</v>
      </c>
      <c r="N65" s="94"/>
    </row>
    <row r="66" spans="1:14" x14ac:dyDescent="0.25">
      <c r="A66" s="94" t="s">
        <v>173</v>
      </c>
      <c r="B66" s="94" t="s">
        <v>172</v>
      </c>
      <c r="C66" s="94" t="s">
        <v>12</v>
      </c>
      <c r="D66" s="94" t="s">
        <v>13</v>
      </c>
      <c r="E66" s="114" t="s">
        <v>13</v>
      </c>
      <c r="F66" s="114" t="s">
        <v>13</v>
      </c>
      <c r="G66" s="114" t="s">
        <v>13</v>
      </c>
      <c r="H66" s="114" t="s">
        <v>13</v>
      </c>
      <c r="I66" s="114" t="s">
        <v>13</v>
      </c>
      <c r="J66" s="195" t="s">
        <v>13</v>
      </c>
      <c r="K66" s="93">
        <f t="shared" si="3"/>
        <v>0</v>
      </c>
      <c r="L66" s="96" t="str">
        <f>VLOOKUP(A66,'IP Collections'!B65:K126,10,FALSE)</f>
        <v>NULL</v>
      </c>
      <c r="M66" s="96" t="str">
        <f t="shared" si="4"/>
        <v>NULL</v>
      </c>
      <c r="N66" s="94"/>
    </row>
    <row r="67" spans="1:14" x14ac:dyDescent="0.25">
      <c r="A67" s="94" t="s">
        <v>171</v>
      </c>
      <c r="B67" s="94" t="s">
        <v>170</v>
      </c>
      <c r="C67" s="94" t="s">
        <v>12</v>
      </c>
      <c r="D67" s="94" t="s">
        <v>13</v>
      </c>
      <c r="E67" s="114" t="s">
        <v>13</v>
      </c>
      <c r="F67" s="114" t="s">
        <v>13</v>
      </c>
      <c r="G67" s="114" t="s">
        <v>13</v>
      </c>
      <c r="H67" s="114" t="s">
        <v>13</v>
      </c>
      <c r="I67" s="114" t="s">
        <v>13</v>
      </c>
      <c r="J67" s="195" t="s">
        <v>13</v>
      </c>
      <c r="K67" s="93">
        <f t="shared" si="3"/>
        <v>0</v>
      </c>
      <c r="L67" s="96" t="str">
        <f>VLOOKUP(A67,'IP Collections'!B66:K127,10,FALSE)</f>
        <v>NULL</v>
      </c>
      <c r="M67" s="96" t="str">
        <f t="shared" si="4"/>
        <v>NULL</v>
      </c>
      <c r="N67" s="94"/>
    </row>
    <row r="68" spans="1:14" x14ac:dyDescent="0.25">
      <c r="A68" s="94" t="s">
        <v>169</v>
      </c>
      <c r="B68" s="94" t="s">
        <v>168</v>
      </c>
      <c r="C68" s="94" t="s">
        <v>12</v>
      </c>
      <c r="D68" s="94" t="s">
        <v>13</v>
      </c>
      <c r="E68" s="114" t="s">
        <v>13</v>
      </c>
      <c r="F68" s="114" t="s">
        <v>13</v>
      </c>
      <c r="G68" s="114" t="s">
        <v>13</v>
      </c>
      <c r="H68" s="114" t="s">
        <v>13</v>
      </c>
      <c r="I68" s="114" t="s">
        <v>13</v>
      </c>
      <c r="J68" s="195" t="s">
        <v>13</v>
      </c>
      <c r="K68" s="93">
        <f t="shared" si="3"/>
        <v>0</v>
      </c>
      <c r="L68" s="96" t="str">
        <f>VLOOKUP(A68,'IP Collections'!B67:K128,10,FALSE)</f>
        <v>NULL</v>
      </c>
      <c r="M68" s="96" t="str">
        <f t="shared" si="4"/>
        <v>NULL</v>
      </c>
      <c r="N68" s="94"/>
    </row>
    <row r="69" spans="1:14" x14ac:dyDescent="0.25">
      <c r="A69" s="94"/>
      <c r="B69" s="94"/>
      <c r="C69" s="94"/>
      <c r="D69" s="94"/>
      <c r="E69" s="114"/>
      <c r="F69" s="114"/>
      <c r="G69" s="114"/>
      <c r="H69" s="114" t="s">
        <v>109</v>
      </c>
      <c r="I69" s="114">
        <f>AVERAGE(I5,I9,I15,I21,I25,I26,I31,I38,I46,I48)</f>
        <v>4.5118174683184922E-2</v>
      </c>
      <c r="J69" s="114">
        <f>AVERAGE(J4:J68)</f>
        <v>4.683783459473663E-2</v>
      </c>
      <c r="K69" s="94" t="s">
        <v>610</v>
      </c>
      <c r="L69" s="97">
        <f>SUM(L4:L68)</f>
        <v>5353112.2699999996</v>
      </c>
      <c r="M69" s="97">
        <f>SUM(M4:M68)</f>
        <v>5554629.5850142837</v>
      </c>
      <c r="N69" s="94"/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sqref="A1:IV1"/>
    </sheetView>
  </sheetViews>
  <sheetFormatPr defaultRowHeight="15" x14ac:dyDescent="0.25"/>
  <cols>
    <col min="8" max="8" width="17.5703125" customWidth="1"/>
    <col min="10" max="10" width="8.42578125" customWidth="1"/>
    <col min="11" max="11" width="13" customWidth="1"/>
    <col min="12" max="12" width="14.42578125" customWidth="1"/>
  </cols>
  <sheetData>
    <row r="1" spans="1:13" x14ac:dyDescent="0.25">
      <c r="A1" s="115" t="s">
        <v>0</v>
      </c>
      <c r="B1" s="115" t="s">
        <v>1</v>
      </c>
      <c r="C1" s="115" t="s">
        <v>2</v>
      </c>
      <c r="D1" s="115"/>
      <c r="E1" s="94" t="s">
        <v>3</v>
      </c>
      <c r="F1" s="115"/>
      <c r="G1" s="94"/>
      <c r="H1" s="94"/>
      <c r="I1" s="94"/>
      <c r="J1" s="94"/>
      <c r="K1" s="94"/>
      <c r="L1" s="94"/>
      <c r="M1" s="94"/>
    </row>
    <row r="2" spans="1:13" x14ac:dyDescent="0.25">
      <c r="A2" s="94"/>
      <c r="B2" s="94"/>
      <c r="C2" s="94"/>
      <c r="D2" s="116" t="s">
        <v>5</v>
      </c>
      <c r="E2" s="116" t="s">
        <v>6</v>
      </c>
      <c r="F2" s="116" t="s">
        <v>7</v>
      </c>
      <c r="G2" s="116" t="s">
        <v>8</v>
      </c>
      <c r="H2" s="116" t="s">
        <v>600</v>
      </c>
      <c r="I2" s="116" t="s">
        <v>613</v>
      </c>
      <c r="J2" s="97" t="s">
        <v>9</v>
      </c>
      <c r="K2" s="225" t="s">
        <v>617</v>
      </c>
      <c r="L2" s="225" t="s">
        <v>618</v>
      </c>
      <c r="M2" s="5"/>
    </row>
    <row r="3" spans="1:13" x14ac:dyDescent="0.25">
      <c r="A3" s="220" t="s">
        <v>70</v>
      </c>
      <c r="B3" s="220" t="s">
        <v>602</v>
      </c>
      <c r="C3" s="220" t="s">
        <v>21</v>
      </c>
      <c r="D3" s="221">
        <v>2.5954764553207266E-2</v>
      </c>
      <c r="E3" s="221">
        <v>2.500880591757661E-2</v>
      </c>
      <c r="F3" s="221">
        <v>1.6365496079099897E-2</v>
      </c>
      <c r="G3" s="221">
        <v>2.6089828269484808E-2</v>
      </c>
      <c r="H3" s="221">
        <v>2.1395655036208033E-2</v>
      </c>
      <c r="I3" s="221">
        <v>3.553299492385787E-2</v>
      </c>
      <c r="J3" s="223">
        <f>I5/I3</f>
        <v>1.2470190665907797</v>
      </c>
      <c r="K3" s="227">
        <v>643406.23</v>
      </c>
      <c r="L3" s="225">
        <f>K3*J3</f>
        <v>802339.83637329249</v>
      </c>
      <c r="M3" s="37"/>
    </row>
    <row r="4" spans="1:13" ht="15.75" thickBot="1" x14ac:dyDescent="0.3">
      <c r="A4" s="222" t="s">
        <v>126</v>
      </c>
      <c r="B4" s="222" t="s">
        <v>603</v>
      </c>
      <c r="C4" s="222" t="s">
        <v>21</v>
      </c>
      <c r="D4" s="195">
        <v>6.1967771518406919E-2</v>
      </c>
      <c r="E4" s="195">
        <v>5.808080808080808E-2</v>
      </c>
      <c r="F4" s="195">
        <v>4.5913290689410094E-2</v>
      </c>
      <c r="G4" s="195">
        <v>4.5179812632215169E-2</v>
      </c>
      <c r="H4" s="195">
        <v>4.6960105991461797E-2</v>
      </c>
      <c r="I4" s="195">
        <v>5.3087649402390441E-2</v>
      </c>
      <c r="J4" s="224">
        <v>1</v>
      </c>
      <c r="K4" s="227">
        <v>4196113.12</v>
      </c>
      <c r="L4" s="225">
        <f>K4*J4</f>
        <v>4196113.12</v>
      </c>
      <c r="M4" s="37"/>
    </row>
    <row r="5" spans="1:13" ht="15.75" thickBot="1" x14ac:dyDescent="0.3">
      <c r="A5" s="94"/>
      <c r="B5" s="94"/>
      <c r="C5" s="94"/>
      <c r="D5" s="114"/>
      <c r="E5" s="114"/>
      <c r="F5" s="114"/>
      <c r="G5" s="114"/>
      <c r="H5" s="226" t="s">
        <v>621</v>
      </c>
      <c r="I5" s="228">
        <f>AVERAGE(I3:I4)</f>
        <v>4.4310322163124152E-2</v>
      </c>
      <c r="J5" s="196"/>
      <c r="K5" s="229">
        <f>SUM(K3:K4)</f>
        <v>4839519.3499999996</v>
      </c>
      <c r="L5" s="225">
        <f>SUM(L3:L4)</f>
        <v>4998452.956373293</v>
      </c>
      <c r="M5" s="37"/>
    </row>
    <row r="6" spans="1:13" x14ac:dyDescent="0.25">
      <c r="A6" s="94"/>
      <c r="B6" s="94"/>
      <c r="C6" s="94"/>
      <c r="D6" s="114"/>
      <c r="E6" s="114"/>
      <c r="F6" s="114"/>
      <c r="G6" s="114"/>
      <c r="H6" s="114"/>
      <c r="I6" s="114"/>
      <c r="J6" s="195"/>
      <c r="K6" s="37"/>
      <c r="L6" s="225"/>
      <c r="M6" s="37"/>
    </row>
    <row r="7" spans="1:13" x14ac:dyDescent="0.25">
      <c r="A7" s="94"/>
      <c r="B7" s="94"/>
      <c r="C7" s="94"/>
      <c r="D7" s="114"/>
      <c r="E7" s="114"/>
      <c r="F7" s="114"/>
      <c r="G7" s="114"/>
      <c r="H7" s="114"/>
      <c r="I7" s="114"/>
      <c r="J7" s="195"/>
      <c r="K7" s="37"/>
      <c r="L7" s="225"/>
      <c r="M7" s="37"/>
    </row>
    <row r="8" spans="1:13" x14ac:dyDescent="0.25">
      <c r="K8" s="5"/>
      <c r="L8" s="5"/>
      <c r="M8" s="5"/>
    </row>
    <row r="9" spans="1:13" x14ac:dyDescent="0.25">
      <c r="K9" s="5"/>
      <c r="L9" s="5"/>
      <c r="M9" s="5"/>
    </row>
    <row r="10" spans="1:13" x14ac:dyDescent="0.25">
      <c r="K10" s="5"/>
      <c r="L10" s="5"/>
      <c r="M10" s="5"/>
    </row>
    <row r="11" spans="1:13" x14ac:dyDescent="0.25">
      <c r="K11" s="5"/>
      <c r="L11" s="5"/>
      <c r="M11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"/>
  <sheetViews>
    <sheetView zoomScale="85" zoomScaleNormal="85" workbookViewId="0">
      <selection activeCell="A144" sqref="A2:K144"/>
    </sheetView>
  </sheetViews>
  <sheetFormatPr defaultRowHeight="15" x14ac:dyDescent="0.25"/>
  <cols>
    <col min="1" max="1" width="9.140625" style="234"/>
    <col min="3" max="3" width="48.7109375" bestFit="1" customWidth="1"/>
    <col min="4" max="4" width="15.85546875" customWidth="1"/>
    <col min="5" max="10" width="12.7109375" bestFit="1" customWidth="1"/>
    <col min="11" max="11" width="16.85546875" customWidth="1"/>
    <col min="12" max="12" width="12.7109375" customWidth="1"/>
    <col min="13" max="13" width="13.85546875" bestFit="1" customWidth="1"/>
    <col min="14" max="14" width="16.140625" customWidth="1"/>
    <col min="15" max="15" width="13.85546875" bestFit="1" customWidth="1"/>
  </cols>
  <sheetData>
    <row r="1" spans="1:15" x14ac:dyDescent="0.25">
      <c r="F1" t="s">
        <v>297</v>
      </c>
    </row>
    <row r="2" spans="1:15" x14ac:dyDescent="0.25">
      <c r="A2" s="234" t="s">
        <v>628</v>
      </c>
      <c r="B2" t="s">
        <v>0</v>
      </c>
      <c r="C2" t="s">
        <v>1</v>
      </c>
      <c r="D2" t="s">
        <v>2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600</v>
      </c>
      <c r="K2" t="s">
        <v>613</v>
      </c>
    </row>
    <row r="3" spans="1:15" x14ac:dyDescent="0.25">
      <c r="A3" s="234" t="s">
        <v>606</v>
      </c>
      <c r="B3" s="85" t="s">
        <v>296</v>
      </c>
      <c r="C3" s="85" t="s">
        <v>295</v>
      </c>
      <c r="D3" s="85" t="s">
        <v>12</v>
      </c>
      <c r="E3" s="86" t="s">
        <v>298</v>
      </c>
      <c r="F3" s="86" t="s">
        <v>298</v>
      </c>
      <c r="G3" s="86" t="s">
        <v>298</v>
      </c>
      <c r="H3" s="86" t="s">
        <v>298</v>
      </c>
      <c r="I3" s="86" t="s">
        <v>298</v>
      </c>
      <c r="J3" s="86" t="s">
        <v>298</v>
      </c>
      <c r="K3" s="172" t="s">
        <v>298</v>
      </c>
      <c r="L3" s="172" t="s">
        <v>623</v>
      </c>
      <c r="M3" s="1">
        <f>SUM(K3:K67)</f>
        <v>5353112.2699999996</v>
      </c>
      <c r="N3" s="1"/>
      <c r="O3" s="1"/>
    </row>
    <row r="4" spans="1:15" x14ac:dyDescent="0.25">
      <c r="A4" s="234" t="s">
        <v>606</v>
      </c>
      <c r="B4" s="85" t="s">
        <v>294</v>
      </c>
      <c r="C4" s="85" t="s">
        <v>601</v>
      </c>
      <c r="D4" s="85" t="s">
        <v>21</v>
      </c>
      <c r="E4" s="86">
        <v>934576.62</v>
      </c>
      <c r="F4" s="86">
        <v>836996.44</v>
      </c>
      <c r="G4" s="86">
        <v>1200761.92</v>
      </c>
      <c r="H4" s="86">
        <v>845879.47</v>
      </c>
      <c r="I4" s="86">
        <v>532873.67000000004</v>
      </c>
      <c r="J4" s="86">
        <v>892016.67</v>
      </c>
      <c r="K4" s="172">
        <v>833496.49</v>
      </c>
      <c r="L4" s="172"/>
      <c r="N4" s="1"/>
      <c r="O4" s="1"/>
    </row>
    <row r="5" spans="1:15" x14ac:dyDescent="0.25">
      <c r="A5" s="234" t="s">
        <v>606</v>
      </c>
      <c r="B5" s="85" t="s">
        <v>293</v>
      </c>
      <c r="C5" s="85" t="s">
        <v>292</v>
      </c>
      <c r="D5" s="85" t="s">
        <v>12</v>
      </c>
      <c r="E5" s="86">
        <v>0</v>
      </c>
      <c r="F5" s="86" t="s">
        <v>298</v>
      </c>
      <c r="G5" s="86" t="s">
        <v>298</v>
      </c>
      <c r="H5" s="86" t="s">
        <v>298</v>
      </c>
      <c r="I5" s="86" t="s">
        <v>298</v>
      </c>
      <c r="J5" s="86" t="s">
        <v>298</v>
      </c>
      <c r="K5" s="172" t="s">
        <v>298</v>
      </c>
      <c r="L5" s="172"/>
      <c r="N5" s="1"/>
      <c r="O5" s="1"/>
    </row>
    <row r="6" spans="1:15" x14ac:dyDescent="0.25">
      <c r="A6" s="234" t="s">
        <v>606</v>
      </c>
      <c r="B6" s="85" t="s">
        <v>291</v>
      </c>
      <c r="C6" s="85" t="s">
        <v>290</v>
      </c>
      <c r="D6" s="85" t="s">
        <v>12</v>
      </c>
      <c r="E6" s="86" t="s">
        <v>298</v>
      </c>
      <c r="F6" s="86" t="s">
        <v>298</v>
      </c>
      <c r="G6" s="86" t="s">
        <v>298</v>
      </c>
      <c r="H6" s="86" t="s">
        <v>298</v>
      </c>
      <c r="I6" s="86" t="s">
        <v>298</v>
      </c>
      <c r="J6" s="86" t="s">
        <v>298</v>
      </c>
      <c r="K6" s="172" t="s">
        <v>298</v>
      </c>
      <c r="L6" s="172"/>
      <c r="N6" s="1"/>
      <c r="O6" s="1"/>
    </row>
    <row r="7" spans="1:15" x14ac:dyDescent="0.25">
      <c r="A7" s="234" t="s">
        <v>606</v>
      </c>
      <c r="B7" s="85" t="s">
        <v>289</v>
      </c>
      <c r="C7" s="85" t="s">
        <v>288</v>
      </c>
      <c r="D7" s="85" t="s">
        <v>12</v>
      </c>
      <c r="E7" s="86" t="s">
        <v>298</v>
      </c>
      <c r="F7" s="86" t="s">
        <v>298</v>
      </c>
      <c r="G7" s="86" t="s">
        <v>298</v>
      </c>
      <c r="H7" s="86" t="s">
        <v>298</v>
      </c>
      <c r="I7" s="86" t="s">
        <v>298</v>
      </c>
      <c r="J7" s="86" t="s">
        <v>298</v>
      </c>
      <c r="K7" s="172" t="s">
        <v>298</v>
      </c>
      <c r="L7" s="172"/>
    </row>
    <row r="8" spans="1:15" x14ac:dyDescent="0.25">
      <c r="A8" s="234" t="s">
        <v>606</v>
      </c>
      <c r="B8" s="85" t="s">
        <v>287</v>
      </c>
      <c r="C8" s="85" t="s">
        <v>286</v>
      </c>
      <c r="D8" s="85" t="s">
        <v>21</v>
      </c>
      <c r="E8" s="86">
        <v>1057445.8899999999</v>
      </c>
      <c r="F8" s="86">
        <v>775419.54</v>
      </c>
      <c r="G8" s="86">
        <v>1211664.54</v>
      </c>
      <c r="H8" s="86">
        <v>1159290.3</v>
      </c>
      <c r="I8" s="86">
        <v>485099.36</v>
      </c>
      <c r="J8" s="86">
        <v>736686.4</v>
      </c>
      <c r="K8" s="172">
        <v>662855.11</v>
      </c>
      <c r="L8" s="172"/>
    </row>
    <row r="9" spans="1:15" x14ac:dyDescent="0.25">
      <c r="A9" s="234" t="s">
        <v>606</v>
      </c>
      <c r="B9" s="85" t="s">
        <v>285</v>
      </c>
      <c r="C9" s="85" t="s">
        <v>284</v>
      </c>
      <c r="D9" s="85" t="s">
        <v>12</v>
      </c>
      <c r="E9" s="86" t="s">
        <v>298</v>
      </c>
      <c r="F9" s="86" t="s">
        <v>298</v>
      </c>
      <c r="G9" s="86" t="s">
        <v>298</v>
      </c>
      <c r="H9" s="86" t="s">
        <v>298</v>
      </c>
      <c r="I9" s="86" t="s">
        <v>298</v>
      </c>
      <c r="J9" s="86" t="s">
        <v>298</v>
      </c>
      <c r="K9" s="172" t="s">
        <v>298</v>
      </c>
      <c r="L9" s="172"/>
    </row>
    <row r="10" spans="1:15" x14ac:dyDescent="0.25">
      <c r="A10" s="234" t="s">
        <v>606</v>
      </c>
      <c r="B10" s="85" t="s">
        <v>283</v>
      </c>
      <c r="C10" s="85" t="s">
        <v>282</v>
      </c>
      <c r="D10" s="85" t="s">
        <v>12</v>
      </c>
      <c r="E10" s="86" t="s">
        <v>298</v>
      </c>
      <c r="F10" s="86" t="s">
        <v>298</v>
      </c>
      <c r="G10" s="86" t="s">
        <v>298</v>
      </c>
      <c r="H10" s="86" t="s">
        <v>298</v>
      </c>
      <c r="I10" s="86" t="s">
        <v>298</v>
      </c>
      <c r="J10" s="86" t="s">
        <v>298</v>
      </c>
      <c r="K10" s="172" t="s">
        <v>298</v>
      </c>
      <c r="L10" s="172"/>
    </row>
    <row r="11" spans="1:15" x14ac:dyDescent="0.25">
      <c r="A11" s="234" t="s">
        <v>606</v>
      </c>
      <c r="B11" s="85" t="s">
        <v>281</v>
      </c>
      <c r="C11" s="85" t="s">
        <v>280</v>
      </c>
      <c r="D11" s="85" t="s">
        <v>12</v>
      </c>
      <c r="E11" s="86" t="s">
        <v>298</v>
      </c>
      <c r="F11" s="86" t="s">
        <v>298</v>
      </c>
      <c r="G11" s="86" t="s">
        <v>298</v>
      </c>
      <c r="H11" s="86" t="s">
        <v>298</v>
      </c>
      <c r="I11" s="86" t="s">
        <v>298</v>
      </c>
      <c r="J11" s="86" t="s">
        <v>298</v>
      </c>
      <c r="K11" s="172" t="s">
        <v>298</v>
      </c>
      <c r="L11" s="172"/>
    </row>
    <row r="12" spans="1:15" x14ac:dyDescent="0.25">
      <c r="A12" s="234" t="s">
        <v>606</v>
      </c>
      <c r="B12" s="85" t="s">
        <v>279</v>
      </c>
      <c r="C12" s="85" t="s">
        <v>278</v>
      </c>
      <c r="D12" s="85" t="s">
        <v>21</v>
      </c>
      <c r="E12" s="86">
        <v>192217.64</v>
      </c>
      <c r="F12" s="86">
        <v>169788.01</v>
      </c>
      <c r="G12" s="86">
        <v>113708.48</v>
      </c>
      <c r="H12" s="86">
        <v>14075.28</v>
      </c>
      <c r="I12" s="86" t="s">
        <v>298</v>
      </c>
      <c r="J12" s="86" t="s">
        <v>298</v>
      </c>
      <c r="K12" s="172" t="s">
        <v>298</v>
      </c>
      <c r="L12" s="172"/>
    </row>
    <row r="13" spans="1:15" x14ac:dyDescent="0.25">
      <c r="A13" s="234" t="s">
        <v>606</v>
      </c>
      <c r="B13" s="85" t="s">
        <v>277</v>
      </c>
      <c r="C13" s="85" t="s">
        <v>276</v>
      </c>
      <c r="D13" s="85" t="s">
        <v>12</v>
      </c>
      <c r="E13" s="86" t="s">
        <v>298</v>
      </c>
      <c r="F13" s="86" t="s">
        <v>298</v>
      </c>
      <c r="G13" s="86" t="s">
        <v>298</v>
      </c>
      <c r="H13" s="86" t="s">
        <v>298</v>
      </c>
      <c r="I13" s="86" t="s">
        <v>298</v>
      </c>
      <c r="J13" s="86" t="s">
        <v>298</v>
      </c>
      <c r="K13" s="172" t="s">
        <v>298</v>
      </c>
      <c r="L13" s="172"/>
    </row>
    <row r="14" spans="1:15" x14ac:dyDescent="0.25">
      <c r="A14" s="234" t="s">
        <v>606</v>
      </c>
      <c r="B14" s="85" t="s">
        <v>275</v>
      </c>
      <c r="C14" s="85" t="s">
        <v>274</v>
      </c>
      <c r="D14" s="85" t="s">
        <v>21</v>
      </c>
      <c r="E14" s="86">
        <v>402691.08</v>
      </c>
      <c r="F14" s="86">
        <v>618468.92000000004</v>
      </c>
      <c r="G14" s="86">
        <v>696067.27</v>
      </c>
      <c r="H14" s="86">
        <v>363692.79</v>
      </c>
      <c r="I14" s="86">
        <v>476343.13</v>
      </c>
      <c r="J14" s="86">
        <v>320906.81</v>
      </c>
      <c r="K14" s="172">
        <v>182718.14</v>
      </c>
      <c r="L14" s="172"/>
    </row>
    <row r="15" spans="1:15" x14ac:dyDescent="0.25">
      <c r="A15" s="234" t="s">
        <v>606</v>
      </c>
      <c r="B15" s="85" t="s">
        <v>273</v>
      </c>
      <c r="C15" s="85" t="s">
        <v>272</v>
      </c>
      <c r="D15" s="85" t="s">
        <v>12</v>
      </c>
      <c r="E15" s="86" t="s">
        <v>298</v>
      </c>
      <c r="F15" s="86" t="s">
        <v>298</v>
      </c>
      <c r="G15" s="86" t="s">
        <v>298</v>
      </c>
      <c r="H15" s="86" t="s">
        <v>298</v>
      </c>
      <c r="I15" s="86" t="s">
        <v>298</v>
      </c>
      <c r="J15" s="86" t="s">
        <v>298</v>
      </c>
      <c r="K15" s="172" t="s">
        <v>298</v>
      </c>
      <c r="L15" s="172"/>
    </row>
    <row r="16" spans="1:15" x14ac:dyDescent="0.25">
      <c r="A16" s="234" t="s">
        <v>606</v>
      </c>
      <c r="B16" s="85" t="s">
        <v>271</v>
      </c>
      <c r="C16" s="85" t="s">
        <v>270</v>
      </c>
      <c r="D16" s="85" t="s">
        <v>12</v>
      </c>
      <c r="E16" s="86">
        <v>2067.0300000000002</v>
      </c>
      <c r="F16" s="86">
        <v>0</v>
      </c>
      <c r="G16" s="86" t="s">
        <v>298</v>
      </c>
      <c r="H16" s="86" t="s">
        <v>298</v>
      </c>
      <c r="I16" s="86" t="s">
        <v>298</v>
      </c>
      <c r="J16" s="86" t="s">
        <v>298</v>
      </c>
      <c r="K16" s="172" t="s">
        <v>298</v>
      </c>
      <c r="L16" s="172"/>
    </row>
    <row r="17" spans="1:12" x14ac:dyDescent="0.25">
      <c r="A17" s="234" t="s">
        <v>606</v>
      </c>
      <c r="B17" s="85" t="s">
        <v>269</v>
      </c>
      <c r="C17" s="85" t="s">
        <v>268</v>
      </c>
      <c r="D17" s="85" t="s">
        <v>12</v>
      </c>
      <c r="E17" s="86" t="s">
        <v>298</v>
      </c>
      <c r="F17" s="86" t="s">
        <v>298</v>
      </c>
      <c r="G17" s="86" t="s">
        <v>298</v>
      </c>
      <c r="H17" s="86" t="s">
        <v>298</v>
      </c>
      <c r="I17" s="86" t="s">
        <v>298</v>
      </c>
      <c r="J17" s="86" t="s">
        <v>298</v>
      </c>
      <c r="K17" s="172" t="s">
        <v>298</v>
      </c>
      <c r="L17" s="172"/>
    </row>
    <row r="18" spans="1:12" x14ac:dyDescent="0.25">
      <c r="A18" s="234" t="s">
        <v>606</v>
      </c>
      <c r="B18" s="85" t="s">
        <v>267</v>
      </c>
      <c r="C18" s="85" t="s">
        <v>266</v>
      </c>
      <c r="D18" s="85" t="s">
        <v>12</v>
      </c>
      <c r="E18" s="86" t="s">
        <v>298</v>
      </c>
      <c r="F18" s="86" t="s">
        <v>298</v>
      </c>
      <c r="G18" s="86" t="s">
        <v>298</v>
      </c>
      <c r="H18" s="86" t="s">
        <v>298</v>
      </c>
      <c r="I18" s="86" t="s">
        <v>298</v>
      </c>
      <c r="J18" s="86" t="s">
        <v>298</v>
      </c>
      <c r="K18" s="172" t="s">
        <v>298</v>
      </c>
      <c r="L18" s="172"/>
    </row>
    <row r="19" spans="1:12" x14ac:dyDescent="0.25">
      <c r="A19" s="234" t="s">
        <v>606</v>
      </c>
      <c r="B19" s="85" t="s">
        <v>265</v>
      </c>
      <c r="C19" s="85" t="s">
        <v>264</v>
      </c>
      <c r="D19" s="85" t="s">
        <v>12</v>
      </c>
      <c r="E19" s="86" t="s">
        <v>298</v>
      </c>
      <c r="F19" s="86" t="s">
        <v>298</v>
      </c>
      <c r="G19" s="86" t="s">
        <v>298</v>
      </c>
      <c r="H19" s="86" t="s">
        <v>298</v>
      </c>
      <c r="I19" s="86" t="s">
        <v>298</v>
      </c>
      <c r="J19" s="86" t="s">
        <v>298</v>
      </c>
      <c r="K19" s="172" t="s">
        <v>298</v>
      </c>
      <c r="L19" s="172"/>
    </row>
    <row r="20" spans="1:12" x14ac:dyDescent="0.25">
      <c r="A20" s="234" t="s">
        <v>606</v>
      </c>
      <c r="B20" s="85" t="s">
        <v>263</v>
      </c>
      <c r="C20" s="85" t="s">
        <v>262</v>
      </c>
      <c r="D20" s="85" t="s">
        <v>21</v>
      </c>
      <c r="E20" s="86">
        <v>119526.39999999999</v>
      </c>
      <c r="F20" s="86">
        <v>77907.94</v>
      </c>
      <c r="G20" s="86">
        <v>45060.76</v>
      </c>
      <c r="H20" s="86">
        <v>24299.21</v>
      </c>
      <c r="I20" s="86">
        <v>35402.67</v>
      </c>
      <c r="J20" s="86">
        <v>29137.59</v>
      </c>
      <c r="K20" s="172">
        <v>958.97</v>
      </c>
      <c r="L20" s="172"/>
    </row>
    <row r="21" spans="1:12" x14ac:dyDescent="0.25">
      <c r="A21" s="234" t="s">
        <v>606</v>
      </c>
      <c r="B21" s="85" t="s">
        <v>261</v>
      </c>
      <c r="C21" s="85" t="s">
        <v>260</v>
      </c>
      <c r="D21" s="85" t="s">
        <v>12</v>
      </c>
      <c r="E21" s="86">
        <v>251077.32</v>
      </c>
      <c r="F21" s="86" t="s">
        <v>298</v>
      </c>
      <c r="G21" s="86" t="s">
        <v>298</v>
      </c>
      <c r="H21" s="86" t="s">
        <v>298</v>
      </c>
      <c r="I21" s="86" t="s">
        <v>298</v>
      </c>
      <c r="J21" s="86" t="s">
        <v>298</v>
      </c>
      <c r="K21" s="172" t="s">
        <v>298</v>
      </c>
      <c r="L21" s="172"/>
    </row>
    <row r="22" spans="1:12" x14ac:dyDescent="0.25">
      <c r="A22" s="234" t="s">
        <v>606</v>
      </c>
      <c r="B22" s="85" t="s">
        <v>259</v>
      </c>
      <c r="C22" s="85" t="s">
        <v>258</v>
      </c>
      <c r="D22" s="85" t="s">
        <v>12</v>
      </c>
      <c r="E22" s="86" t="s">
        <v>298</v>
      </c>
      <c r="F22" s="86" t="s">
        <v>298</v>
      </c>
      <c r="G22" s="86" t="s">
        <v>298</v>
      </c>
      <c r="H22" s="86" t="s">
        <v>298</v>
      </c>
      <c r="I22" s="86" t="s">
        <v>298</v>
      </c>
      <c r="J22" s="86" t="s">
        <v>298</v>
      </c>
      <c r="K22" s="172" t="s">
        <v>298</v>
      </c>
      <c r="L22" s="172"/>
    </row>
    <row r="23" spans="1:12" x14ac:dyDescent="0.25">
      <c r="A23" s="234" t="s">
        <v>606</v>
      </c>
      <c r="B23" s="85" t="s">
        <v>257</v>
      </c>
      <c r="C23" s="85" t="s">
        <v>256</v>
      </c>
      <c r="D23" s="85" t="s">
        <v>12</v>
      </c>
      <c r="E23" s="86" t="s">
        <v>298</v>
      </c>
      <c r="F23" s="86" t="s">
        <v>298</v>
      </c>
      <c r="G23" s="86" t="s">
        <v>298</v>
      </c>
      <c r="H23" s="86" t="s">
        <v>298</v>
      </c>
      <c r="I23" s="86" t="s">
        <v>298</v>
      </c>
      <c r="J23" s="86" t="s">
        <v>298</v>
      </c>
      <c r="K23" s="172" t="s">
        <v>298</v>
      </c>
      <c r="L23" s="172"/>
    </row>
    <row r="24" spans="1:12" x14ac:dyDescent="0.25">
      <c r="A24" s="234" t="s">
        <v>606</v>
      </c>
      <c r="B24" s="85" t="s">
        <v>255</v>
      </c>
      <c r="C24" s="85" t="s">
        <v>254</v>
      </c>
      <c r="D24" s="85" t="s">
        <v>21</v>
      </c>
      <c r="E24" s="86">
        <v>1090765.48</v>
      </c>
      <c r="F24" s="86">
        <v>1179184.79</v>
      </c>
      <c r="G24" s="86">
        <v>267775.78999999998</v>
      </c>
      <c r="H24" s="86">
        <v>262551.44</v>
      </c>
      <c r="I24" s="86">
        <v>356283.25</v>
      </c>
      <c r="J24" s="86">
        <v>267180.27</v>
      </c>
      <c r="K24" s="172">
        <v>57521.45</v>
      </c>
      <c r="L24" s="172"/>
    </row>
    <row r="25" spans="1:12" x14ac:dyDescent="0.25">
      <c r="A25" s="234" t="s">
        <v>606</v>
      </c>
      <c r="B25" s="85" t="s">
        <v>253</v>
      </c>
      <c r="C25" s="85" t="s">
        <v>252</v>
      </c>
      <c r="D25" s="85" t="s">
        <v>21</v>
      </c>
      <c r="E25" s="86">
        <v>585049.47</v>
      </c>
      <c r="F25" s="86">
        <v>128275.67</v>
      </c>
      <c r="G25" s="86">
        <v>244552.4</v>
      </c>
      <c r="H25" s="86">
        <v>274998.86</v>
      </c>
      <c r="I25" s="86">
        <v>340618.21</v>
      </c>
      <c r="J25" s="86">
        <v>835519.9</v>
      </c>
      <c r="K25" s="172">
        <v>798730.07</v>
      </c>
      <c r="L25" s="172"/>
    </row>
    <row r="26" spans="1:12" x14ac:dyDescent="0.25">
      <c r="A26" s="234" t="s">
        <v>606</v>
      </c>
      <c r="B26" s="85" t="s">
        <v>251</v>
      </c>
      <c r="C26" s="85" t="s">
        <v>250</v>
      </c>
      <c r="D26" s="85" t="s">
        <v>12</v>
      </c>
      <c r="E26" s="86" t="s">
        <v>298</v>
      </c>
      <c r="F26" s="86" t="s">
        <v>298</v>
      </c>
      <c r="G26" s="86" t="s">
        <v>298</v>
      </c>
      <c r="H26" s="86" t="s">
        <v>298</v>
      </c>
      <c r="I26" s="86" t="s">
        <v>298</v>
      </c>
      <c r="J26" s="86" t="s">
        <v>298</v>
      </c>
      <c r="K26" s="172" t="s">
        <v>298</v>
      </c>
      <c r="L26" s="172"/>
    </row>
    <row r="27" spans="1:12" x14ac:dyDescent="0.25">
      <c r="A27" s="234" t="s">
        <v>606</v>
      </c>
      <c r="B27" s="85" t="s">
        <v>249</v>
      </c>
      <c r="C27" s="85" t="s">
        <v>248</v>
      </c>
      <c r="D27" s="85" t="s">
        <v>12</v>
      </c>
      <c r="E27" s="86" t="s">
        <v>298</v>
      </c>
      <c r="F27" s="86" t="s">
        <v>298</v>
      </c>
      <c r="G27" s="86" t="s">
        <v>298</v>
      </c>
      <c r="H27" s="86" t="s">
        <v>298</v>
      </c>
      <c r="I27" s="86" t="s">
        <v>298</v>
      </c>
      <c r="J27" s="86" t="s">
        <v>298</v>
      </c>
      <c r="K27" s="172" t="s">
        <v>298</v>
      </c>
      <c r="L27" s="172"/>
    </row>
    <row r="28" spans="1:12" x14ac:dyDescent="0.25">
      <c r="A28" s="234" t="s">
        <v>606</v>
      </c>
      <c r="B28" s="85" t="s">
        <v>247</v>
      </c>
      <c r="C28" s="85" t="s">
        <v>246</v>
      </c>
      <c r="D28" s="85" t="s">
        <v>12</v>
      </c>
      <c r="E28" s="86" t="s">
        <v>298</v>
      </c>
      <c r="F28" s="86" t="s">
        <v>298</v>
      </c>
      <c r="G28" s="86" t="s">
        <v>298</v>
      </c>
      <c r="H28" s="86" t="s">
        <v>298</v>
      </c>
      <c r="I28" s="86" t="s">
        <v>298</v>
      </c>
      <c r="J28" s="86" t="s">
        <v>298</v>
      </c>
      <c r="K28" s="172" t="s">
        <v>298</v>
      </c>
      <c r="L28" s="172"/>
    </row>
    <row r="29" spans="1:12" x14ac:dyDescent="0.25">
      <c r="A29" s="234" t="s">
        <v>606</v>
      </c>
      <c r="B29" s="85" t="s">
        <v>245</v>
      </c>
      <c r="C29" s="85" t="s">
        <v>244</v>
      </c>
      <c r="D29" s="85" t="s">
        <v>12</v>
      </c>
      <c r="E29" s="86">
        <v>38124.58</v>
      </c>
      <c r="F29" s="86" t="s">
        <v>298</v>
      </c>
      <c r="G29" s="86" t="s">
        <v>298</v>
      </c>
      <c r="H29" s="86" t="s">
        <v>298</v>
      </c>
      <c r="I29" s="86" t="s">
        <v>298</v>
      </c>
      <c r="J29" s="86" t="s">
        <v>298</v>
      </c>
      <c r="K29" s="172" t="s">
        <v>298</v>
      </c>
      <c r="L29" s="172"/>
    </row>
    <row r="30" spans="1:12" x14ac:dyDescent="0.25">
      <c r="A30" s="234" t="s">
        <v>606</v>
      </c>
      <c r="B30" s="85" t="s">
        <v>243</v>
      </c>
      <c r="C30" s="85" t="s">
        <v>242</v>
      </c>
      <c r="D30" s="85" t="s">
        <v>21</v>
      </c>
      <c r="E30" s="86">
        <v>561055.52</v>
      </c>
      <c r="F30" s="86">
        <v>637884.07999999996</v>
      </c>
      <c r="G30" s="86">
        <v>443361.14</v>
      </c>
      <c r="H30" s="86">
        <v>392975.97</v>
      </c>
      <c r="I30" s="86">
        <v>680597.97</v>
      </c>
      <c r="J30" s="86">
        <v>705203.12</v>
      </c>
      <c r="K30" s="172">
        <v>607968.57999999996</v>
      </c>
      <c r="L30" s="172"/>
    </row>
    <row r="31" spans="1:12" x14ac:dyDescent="0.25">
      <c r="A31" s="234" t="s">
        <v>606</v>
      </c>
      <c r="B31" s="85" t="s">
        <v>241</v>
      </c>
      <c r="C31" s="85" t="s">
        <v>240</v>
      </c>
      <c r="D31" s="85" t="s">
        <v>12</v>
      </c>
      <c r="E31" s="86" t="s">
        <v>298</v>
      </c>
      <c r="F31" s="86" t="s">
        <v>298</v>
      </c>
      <c r="G31" s="86" t="s">
        <v>298</v>
      </c>
      <c r="H31" s="86" t="s">
        <v>298</v>
      </c>
      <c r="I31" s="86" t="s">
        <v>298</v>
      </c>
      <c r="J31" s="86" t="s">
        <v>298</v>
      </c>
      <c r="K31" s="172" t="s">
        <v>298</v>
      </c>
      <c r="L31" s="172"/>
    </row>
    <row r="32" spans="1:12" x14ac:dyDescent="0.25">
      <c r="A32" s="234" t="s">
        <v>606</v>
      </c>
      <c r="B32" s="85" t="s">
        <v>239</v>
      </c>
      <c r="C32" s="85" t="s">
        <v>238</v>
      </c>
      <c r="D32" s="85" t="s">
        <v>12</v>
      </c>
      <c r="E32" s="86" t="s">
        <v>298</v>
      </c>
      <c r="F32" s="86" t="s">
        <v>298</v>
      </c>
      <c r="G32" s="86" t="s">
        <v>298</v>
      </c>
      <c r="H32" s="86" t="s">
        <v>298</v>
      </c>
      <c r="I32" s="86" t="s">
        <v>298</v>
      </c>
      <c r="J32" s="86" t="s">
        <v>298</v>
      </c>
      <c r="K32" s="172" t="s">
        <v>298</v>
      </c>
      <c r="L32" s="172"/>
    </row>
    <row r="33" spans="1:12" x14ac:dyDescent="0.25">
      <c r="A33" s="234" t="s">
        <v>606</v>
      </c>
      <c r="B33" s="85" t="s">
        <v>237</v>
      </c>
      <c r="C33" s="85" t="s">
        <v>236</v>
      </c>
      <c r="D33" s="85" t="s">
        <v>12</v>
      </c>
      <c r="E33" s="86" t="s">
        <v>298</v>
      </c>
      <c r="F33" s="86" t="s">
        <v>298</v>
      </c>
      <c r="G33" s="86" t="s">
        <v>298</v>
      </c>
      <c r="H33" s="86" t="s">
        <v>298</v>
      </c>
      <c r="I33" s="86" t="s">
        <v>298</v>
      </c>
      <c r="J33" s="86" t="s">
        <v>298</v>
      </c>
      <c r="K33" s="172" t="s">
        <v>298</v>
      </c>
      <c r="L33" s="172"/>
    </row>
    <row r="34" spans="1:12" x14ac:dyDescent="0.25">
      <c r="A34" s="234" t="s">
        <v>606</v>
      </c>
      <c r="B34" s="85" t="s">
        <v>235</v>
      </c>
      <c r="C34" s="85" t="s">
        <v>234</v>
      </c>
      <c r="D34" s="85" t="s">
        <v>12</v>
      </c>
      <c r="E34" s="86" t="s">
        <v>298</v>
      </c>
      <c r="F34" s="86" t="s">
        <v>298</v>
      </c>
      <c r="G34" s="86" t="s">
        <v>298</v>
      </c>
      <c r="H34" s="86" t="s">
        <v>298</v>
      </c>
      <c r="I34" s="86" t="s">
        <v>298</v>
      </c>
      <c r="J34" s="86" t="s">
        <v>298</v>
      </c>
      <c r="K34" s="172" t="s">
        <v>298</v>
      </c>
      <c r="L34" s="172"/>
    </row>
    <row r="35" spans="1:12" x14ac:dyDescent="0.25">
      <c r="A35" s="234" t="s">
        <v>606</v>
      </c>
      <c r="B35" s="85" t="s">
        <v>233</v>
      </c>
      <c r="C35" s="85" t="s">
        <v>232</v>
      </c>
      <c r="D35" s="85" t="s">
        <v>12</v>
      </c>
      <c r="E35" s="86" t="s">
        <v>298</v>
      </c>
      <c r="F35" s="86" t="s">
        <v>298</v>
      </c>
      <c r="G35" s="86" t="s">
        <v>298</v>
      </c>
      <c r="H35" s="86" t="s">
        <v>298</v>
      </c>
      <c r="I35" s="86" t="s">
        <v>298</v>
      </c>
      <c r="J35" s="86" t="s">
        <v>298</v>
      </c>
      <c r="K35" s="172" t="s">
        <v>298</v>
      </c>
      <c r="L35" s="172"/>
    </row>
    <row r="36" spans="1:12" x14ac:dyDescent="0.25">
      <c r="A36" s="234" t="s">
        <v>606</v>
      </c>
      <c r="B36" s="85" t="s">
        <v>231</v>
      </c>
      <c r="C36" s="85" t="s">
        <v>230</v>
      </c>
      <c r="D36" s="85" t="s">
        <v>12</v>
      </c>
      <c r="E36" s="86" t="s">
        <v>298</v>
      </c>
      <c r="F36" s="86" t="s">
        <v>298</v>
      </c>
      <c r="G36" s="86" t="s">
        <v>298</v>
      </c>
      <c r="H36" s="86" t="s">
        <v>298</v>
      </c>
      <c r="I36" s="86" t="s">
        <v>298</v>
      </c>
      <c r="J36" s="86" t="s">
        <v>298</v>
      </c>
      <c r="K36" s="172" t="s">
        <v>298</v>
      </c>
      <c r="L36" s="172"/>
    </row>
    <row r="37" spans="1:12" x14ac:dyDescent="0.25">
      <c r="A37" s="234" t="s">
        <v>606</v>
      </c>
      <c r="B37" s="85" t="s">
        <v>229</v>
      </c>
      <c r="C37" s="85" t="s">
        <v>228</v>
      </c>
      <c r="D37" s="85" t="s">
        <v>21</v>
      </c>
      <c r="E37" s="86">
        <v>2019893.57</v>
      </c>
      <c r="F37" s="86">
        <v>1991882.64</v>
      </c>
      <c r="G37" s="86">
        <v>2582901</v>
      </c>
      <c r="H37" s="86">
        <v>2119004.62</v>
      </c>
      <c r="I37" s="86">
        <v>2513932.09</v>
      </c>
      <c r="J37" s="86">
        <v>1668901.97</v>
      </c>
      <c r="K37" s="172">
        <v>1780111.95</v>
      </c>
      <c r="L37" s="172"/>
    </row>
    <row r="38" spans="1:12" x14ac:dyDescent="0.25">
      <c r="A38" s="234" t="s">
        <v>606</v>
      </c>
      <c r="B38" s="85" t="s">
        <v>227</v>
      </c>
      <c r="C38" s="85" t="s">
        <v>226</v>
      </c>
      <c r="D38" s="85" t="s">
        <v>12</v>
      </c>
      <c r="E38" s="86" t="s">
        <v>298</v>
      </c>
      <c r="F38" s="86" t="s">
        <v>298</v>
      </c>
      <c r="G38" s="86" t="s">
        <v>298</v>
      </c>
      <c r="H38" s="86" t="s">
        <v>298</v>
      </c>
      <c r="I38" s="86" t="s">
        <v>298</v>
      </c>
      <c r="J38" s="86" t="s">
        <v>298</v>
      </c>
      <c r="K38" s="172" t="s">
        <v>298</v>
      </c>
      <c r="L38" s="172"/>
    </row>
    <row r="39" spans="1:12" x14ac:dyDescent="0.25">
      <c r="A39" s="234" t="s">
        <v>606</v>
      </c>
      <c r="B39" s="85" t="s">
        <v>225</v>
      </c>
      <c r="C39" s="85" t="s">
        <v>224</v>
      </c>
      <c r="D39" s="85" t="s">
        <v>12</v>
      </c>
      <c r="E39" s="86" t="s">
        <v>298</v>
      </c>
      <c r="F39" s="86" t="s">
        <v>298</v>
      </c>
      <c r="G39" s="86" t="s">
        <v>298</v>
      </c>
      <c r="H39" s="86" t="s">
        <v>298</v>
      </c>
      <c r="I39" s="86" t="s">
        <v>298</v>
      </c>
      <c r="J39" s="86" t="s">
        <v>298</v>
      </c>
      <c r="K39" s="172" t="s">
        <v>298</v>
      </c>
      <c r="L39" s="172"/>
    </row>
    <row r="40" spans="1:12" x14ac:dyDescent="0.25">
      <c r="A40" s="234" t="s">
        <v>606</v>
      </c>
      <c r="B40" s="85" t="s">
        <v>223</v>
      </c>
      <c r="C40" s="85" t="s">
        <v>222</v>
      </c>
      <c r="D40" s="85" t="s">
        <v>12</v>
      </c>
      <c r="E40" s="86" t="s">
        <v>298</v>
      </c>
      <c r="F40" s="86" t="s">
        <v>298</v>
      </c>
      <c r="G40" s="86" t="s">
        <v>298</v>
      </c>
      <c r="H40" s="86" t="s">
        <v>298</v>
      </c>
      <c r="I40" s="86" t="s">
        <v>298</v>
      </c>
      <c r="J40" s="86" t="s">
        <v>298</v>
      </c>
      <c r="K40" s="172" t="s">
        <v>298</v>
      </c>
      <c r="L40" s="172"/>
    </row>
    <row r="41" spans="1:12" x14ac:dyDescent="0.25">
      <c r="A41" s="234" t="s">
        <v>606</v>
      </c>
      <c r="B41" s="85" t="s">
        <v>221</v>
      </c>
      <c r="C41" s="85" t="s">
        <v>220</v>
      </c>
      <c r="D41" s="85" t="s">
        <v>12</v>
      </c>
      <c r="E41" s="86" t="s">
        <v>298</v>
      </c>
      <c r="F41" s="86" t="s">
        <v>298</v>
      </c>
      <c r="G41" s="86" t="s">
        <v>298</v>
      </c>
      <c r="H41" s="86" t="s">
        <v>298</v>
      </c>
      <c r="I41" s="86" t="s">
        <v>298</v>
      </c>
      <c r="J41" s="86" t="s">
        <v>298</v>
      </c>
      <c r="K41" s="172" t="s">
        <v>298</v>
      </c>
      <c r="L41" s="172"/>
    </row>
    <row r="42" spans="1:12" x14ac:dyDescent="0.25">
      <c r="A42" s="234" t="s">
        <v>606</v>
      </c>
      <c r="B42" s="85" t="s">
        <v>219</v>
      </c>
      <c r="C42" s="85" t="s">
        <v>218</v>
      </c>
      <c r="D42" s="85" t="s">
        <v>12</v>
      </c>
      <c r="E42" s="86" t="s">
        <v>298</v>
      </c>
      <c r="F42" s="86" t="s">
        <v>298</v>
      </c>
      <c r="G42" s="86" t="s">
        <v>298</v>
      </c>
      <c r="H42" s="86" t="s">
        <v>298</v>
      </c>
      <c r="I42" s="86" t="s">
        <v>298</v>
      </c>
      <c r="J42" s="86" t="s">
        <v>298</v>
      </c>
      <c r="K42" s="172" t="s">
        <v>298</v>
      </c>
      <c r="L42" s="172"/>
    </row>
    <row r="43" spans="1:12" x14ac:dyDescent="0.25">
      <c r="A43" s="234" t="s">
        <v>606</v>
      </c>
      <c r="B43" s="85" t="s">
        <v>217</v>
      </c>
      <c r="C43" s="85" t="s">
        <v>216</v>
      </c>
      <c r="D43" s="85" t="s">
        <v>12</v>
      </c>
      <c r="E43" s="86" t="s">
        <v>298</v>
      </c>
      <c r="F43" s="86" t="s">
        <v>298</v>
      </c>
      <c r="G43" s="86" t="s">
        <v>298</v>
      </c>
      <c r="H43" s="86" t="s">
        <v>298</v>
      </c>
      <c r="I43" s="86" t="s">
        <v>298</v>
      </c>
      <c r="J43" s="86" t="s">
        <v>298</v>
      </c>
      <c r="K43" s="172" t="s">
        <v>298</v>
      </c>
      <c r="L43" s="172"/>
    </row>
    <row r="44" spans="1:12" x14ac:dyDescent="0.25">
      <c r="A44" s="234" t="s">
        <v>606</v>
      </c>
      <c r="B44" s="85" t="s">
        <v>215</v>
      </c>
      <c r="C44" s="85" t="s">
        <v>214</v>
      </c>
      <c r="D44" s="85" t="s">
        <v>12</v>
      </c>
      <c r="E44" s="86" t="s">
        <v>298</v>
      </c>
      <c r="F44" s="86" t="s">
        <v>298</v>
      </c>
      <c r="G44" s="86" t="s">
        <v>298</v>
      </c>
      <c r="H44" s="86" t="s">
        <v>298</v>
      </c>
      <c r="I44" s="86" t="s">
        <v>298</v>
      </c>
      <c r="J44" s="86" t="s">
        <v>298</v>
      </c>
      <c r="K44" s="172" t="s">
        <v>298</v>
      </c>
      <c r="L44" s="172"/>
    </row>
    <row r="45" spans="1:12" x14ac:dyDescent="0.25">
      <c r="A45" s="234" t="s">
        <v>606</v>
      </c>
      <c r="B45" s="237" t="s">
        <v>213</v>
      </c>
      <c r="C45" s="237" t="s">
        <v>212</v>
      </c>
      <c r="D45" s="237" t="s">
        <v>21</v>
      </c>
      <c r="E45" s="238">
        <v>3960822.39</v>
      </c>
      <c r="F45" s="238">
        <v>5239922.51</v>
      </c>
      <c r="G45" s="238">
        <v>4176858.13</v>
      </c>
      <c r="H45" s="238">
        <v>4454788.1900000004</v>
      </c>
      <c r="I45" s="238">
        <v>4581966.38</v>
      </c>
      <c r="J45" s="238">
        <v>2357969.2000000002</v>
      </c>
      <c r="K45" s="232">
        <v>352691.6</v>
      </c>
      <c r="L45" s="172"/>
    </row>
    <row r="46" spans="1:12" x14ac:dyDescent="0.25">
      <c r="A46" s="234" t="s">
        <v>606</v>
      </c>
      <c r="B46" s="85" t="s">
        <v>211</v>
      </c>
      <c r="C46" s="85" t="s">
        <v>210</v>
      </c>
      <c r="D46" s="85" t="s">
        <v>12</v>
      </c>
      <c r="E46" s="86" t="s">
        <v>298</v>
      </c>
      <c r="F46" s="86" t="s">
        <v>298</v>
      </c>
      <c r="G46" s="86" t="s">
        <v>298</v>
      </c>
      <c r="H46" s="86" t="s">
        <v>298</v>
      </c>
      <c r="I46" s="86" t="s">
        <v>298</v>
      </c>
      <c r="J46" s="86" t="s">
        <v>298</v>
      </c>
      <c r="K46" s="172" t="s">
        <v>298</v>
      </c>
      <c r="L46" s="172"/>
    </row>
    <row r="47" spans="1:12" x14ac:dyDescent="0.25">
      <c r="A47" s="234" t="s">
        <v>606</v>
      </c>
      <c r="B47" s="85" t="s">
        <v>209</v>
      </c>
      <c r="C47" s="85" t="s">
        <v>208</v>
      </c>
      <c r="D47" s="85" t="s">
        <v>21</v>
      </c>
      <c r="E47" s="86">
        <v>15068.88</v>
      </c>
      <c r="F47" s="86">
        <v>6842.84</v>
      </c>
      <c r="G47" s="86">
        <v>70692.11</v>
      </c>
      <c r="H47" s="86">
        <v>128108.32</v>
      </c>
      <c r="I47" s="86">
        <v>120712.09</v>
      </c>
      <c r="J47" s="86">
        <v>65120.07</v>
      </c>
      <c r="K47" s="172">
        <v>76059.91</v>
      </c>
      <c r="L47" s="172"/>
    </row>
    <row r="48" spans="1:12" x14ac:dyDescent="0.25">
      <c r="A48" s="234" t="s">
        <v>606</v>
      </c>
      <c r="B48" s="85" t="s">
        <v>207</v>
      </c>
      <c r="C48" s="85" t="s">
        <v>206</v>
      </c>
      <c r="D48" s="85" t="s">
        <v>12</v>
      </c>
      <c r="E48" s="86" t="s">
        <v>298</v>
      </c>
      <c r="F48" s="86" t="s">
        <v>298</v>
      </c>
      <c r="G48" s="86" t="s">
        <v>298</v>
      </c>
      <c r="H48" s="86" t="s">
        <v>298</v>
      </c>
      <c r="I48" s="86" t="s">
        <v>298</v>
      </c>
      <c r="J48" s="86" t="s">
        <v>298</v>
      </c>
      <c r="K48" s="172" t="s">
        <v>298</v>
      </c>
      <c r="L48" s="172"/>
    </row>
    <row r="49" spans="1:12" x14ac:dyDescent="0.25">
      <c r="A49" s="234" t="s">
        <v>606</v>
      </c>
      <c r="B49" s="85" t="s">
        <v>205</v>
      </c>
      <c r="C49" s="85" t="s">
        <v>204</v>
      </c>
      <c r="D49" s="85" t="s">
        <v>12</v>
      </c>
      <c r="E49" s="86" t="s">
        <v>298</v>
      </c>
      <c r="F49" s="86" t="s">
        <v>298</v>
      </c>
      <c r="G49" s="86" t="s">
        <v>298</v>
      </c>
      <c r="H49" s="86" t="s">
        <v>298</v>
      </c>
      <c r="I49" s="86" t="s">
        <v>298</v>
      </c>
      <c r="J49" s="86" t="s">
        <v>298</v>
      </c>
      <c r="K49" s="172" t="s">
        <v>298</v>
      </c>
      <c r="L49" s="172"/>
    </row>
    <row r="50" spans="1:12" x14ac:dyDescent="0.25">
      <c r="A50" s="234" t="s">
        <v>606</v>
      </c>
      <c r="B50" s="85" t="s">
        <v>203</v>
      </c>
      <c r="C50" s="85" t="s">
        <v>202</v>
      </c>
      <c r="D50" s="85" t="s">
        <v>12</v>
      </c>
      <c r="E50" s="86" t="s">
        <v>298</v>
      </c>
      <c r="F50" s="86" t="s">
        <v>298</v>
      </c>
      <c r="G50" s="86" t="s">
        <v>298</v>
      </c>
      <c r="H50" s="86" t="s">
        <v>298</v>
      </c>
      <c r="I50" s="86" t="s">
        <v>298</v>
      </c>
      <c r="J50" s="86" t="s">
        <v>298</v>
      </c>
      <c r="K50" s="172" t="s">
        <v>298</v>
      </c>
      <c r="L50" s="172"/>
    </row>
    <row r="51" spans="1:12" x14ac:dyDescent="0.25">
      <c r="A51" s="234" t="s">
        <v>606</v>
      </c>
      <c r="B51" s="85" t="s">
        <v>201</v>
      </c>
      <c r="C51" s="85" t="s">
        <v>200</v>
      </c>
      <c r="D51" s="85" t="s">
        <v>12</v>
      </c>
      <c r="E51" s="86" t="s">
        <v>298</v>
      </c>
      <c r="F51" s="86" t="s">
        <v>298</v>
      </c>
      <c r="G51" s="86" t="s">
        <v>298</v>
      </c>
      <c r="H51" s="86" t="s">
        <v>298</v>
      </c>
      <c r="I51" s="86" t="s">
        <v>298</v>
      </c>
      <c r="J51" s="86" t="s">
        <v>298</v>
      </c>
      <c r="K51" s="172" t="s">
        <v>298</v>
      </c>
      <c r="L51" s="172"/>
    </row>
    <row r="52" spans="1:12" x14ac:dyDescent="0.25">
      <c r="A52" s="234" t="s">
        <v>606</v>
      </c>
      <c r="B52" s="85" t="s">
        <v>199</v>
      </c>
      <c r="C52" s="85" t="s">
        <v>198</v>
      </c>
      <c r="D52" s="85" t="s">
        <v>16</v>
      </c>
      <c r="E52" s="86" t="s">
        <v>298</v>
      </c>
      <c r="F52" s="86" t="s">
        <v>298</v>
      </c>
      <c r="G52" s="86" t="s">
        <v>298</v>
      </c>
      <c r="H52" s="86" t="s">
        <v>298</v>
      </c>
      <c r="I52" s="86" t="s">
        <v>298</v>
      </c>
      <c r="J52" s="86" t="s">
        <v>298</v>
      </c>
      <c r="K52" s="172" t="s">
        <v>298</v>
      </c>
      <c r="L52" s="172"/>
    </row>
    <row r="53" spans="1:12" x14ac:dyDescent="0.25">
      <c r="A53" s="234" t="s">
        <v>606</v>
      </c>
      <c r="B53" s="85" t="s">
        <v>197</v>
      </c>
      <c r="C53" s="85" t="s">
        <v>196</v>
      </c>
      <c r="D53" s="85" t="s">
        <v>12</v>
      </c>
      <c r="E53" s="86" t="s">
        <v>298</v>
      </c>
      <c r="F53" s="86" t="s">
        <v>298</v>
      </c>
      <c r="G53" s="86" t="s">
        <v>298</v>
      </c>
      <c r="H53" s="86" t="s">
        <v>298</v>
      </c>
      <c r="I53" s="86" t="s">
        <v>298</v>
      </c>
      <c r="J53" s="86" t="s">
        <v>298</v>
      </c>
      <c r="K53" s="172" t="s">
        <v>298</v>
      </c>
      <c r="L53" s="172"/>
    </row>
    <row r="54" spans="1:12" x14ac:dyDescent="0.25">
      <c r="A54" s="234" t="s">
        <v>606</v>
      </c>
      <c r="B54" s="85" t="s">
        <v>195</v>
      </c>
      <c r="C54" s="85" t="s">
        <v>194</v>
      </c>
      <c r="D54" s="85" t="s">
        <v>12</v>
      </c>
      <c r="E54" s="86" t="s">
        <v>298</v>
      </c>
      <c r="F54" s="86" t="s">
        <v>298</v>
      </c>
      <c r="G54" s="86" t="s">
        <v>298</v>
      </c>
      <c r="H54" s="86" t="s">
        <v>298</v>
      </c>
      <c r="I54" s="86" t="s">
        <v>298</v>
      </c>
      <c r="J54" s="86" t="s">
        <v>298</v>
      </c>
      <c r="K54" s="172" t="s">
        <v>298</v>
      </c>
      <c r="L54" s="172"/>
    </row>
    <row r="55" spans="1:12" x14ac:dyDescent="0.25">
      <c r="A55" s="234" t="s">
        <v>606</v>
      </c>
      <c r="B55" s="85" t="s">
        <v>193</v>
      </c>
      <c r="C55" s="85" t="s">
        <v>192</v>
      </c>
      <c r="D55" s="85" t="s">
        <v>12</v>
      </c>
      <c r="E55" s="86" t="s">
        <v>298</v>
      </c>
      <c r="F55" s="86" t="s">
        <v>298</v>
      </c>
      <c r="G55" s="86" t="s">
        <v>298</v>
      </c>
      <c r="H55" s="86" t="s">
        <v>298</v>
      </c>
      <c r="I55" s="86" t="s">
        <v>298</v>
      </c>
      <c r="J55" s="86" t="s">
        <v>298</v>
      </c>
      <c r="K55" s="172" t="s">
        <v>298</v>
      </c>
      <c r="L55" s="172"/>
    </row>
    <row r="56" spans="1:12" x14ac:dyDescent="0.25">
      <c r="A56" s="234" t="s">
        <v>606</v>
      </c>
      <c r="B56" s="85" t="s">
        <v>191</v>
      </c>
      <c r="C56" s="85" t="s">
        <v>190</v>
      </c>
      <c r="D56" s="85" t="s">
        <v>12</v>
      </c>
      <c r="E56" s="86" t="s">
        <v>298</v>
      </c>
      <c r="F56" s="86" t="s">
        <v>298</v>
      </c>
      <c r="G56" s="86" t="s">
        <v>298</v>
      </c>
      <c r="H56" s="86" t="s">
        <v>298</v>
      </c>
      <c r="I56" s="86" t="s">
        <v>298</v>
      </c>
      <c r="J56" s="86" t="s">
        <v>298</v>
      </c>
      <c r="K56" s="172" t="s">
        <v>298</v>
      </c>
      <c r="L56" s="172"/>
    </row>
    <row r="57" spans="1:12" x14ac:dyDescent="0.25">
      <c r="A57" s="234" t="s">
        <v>606</v>
      </c>
      <c r="B57" s="85" t="s">
        <v>189</v>
      </c>
      <c r="C57" s="85" t="s">
        <v>188</v>
      </c>
      <c r="D57" s="85" t="s">
        <v>12</v>
      </c>
      <c r="E57" s="86" t="s">
        <v>298</v>
      </c>
      <c r="F57" s="86" t="s">
        <v>298</v>
      </c>
      <c r="G57" s="86" t="s">
        <v>298</v>
      </c>
      <c r="H57" s="86" t="s">
        <v>298</v>
      </c>
      <c r="I57" s="86" t="s">
        <v>298</v>
      </c>
      <c r="J57" s="86" t="s">
        <v>298</v>
      </c>
      <c r="K57" s="172" t="s">
        <v>298</v>
      </c>
      <c r="L57" s="172"/>
    </row>
    <row r="58" spans="1:12" x14ac:dyDescent="0.25">
      <c r="A58" s="234" t="s">
        <v>606</v>
      </c>
      <c r="B58" s="85" t="s">
        <v>187</v>
      </c>
      <c r="C58" s="85" t="s">
        <v>186</v>
      </c>
      <c r="D58" s="85" t="s">
        <v>12</v>
      </c>
      <c r="E58" s="86" t="s">
        <v>298</v>
      </c>
      <c r="F58" s="86" t="s">
        <v>298</v>
      </c>
      <c r="G58" s="86" t="s">
        <v>298</v>
      </c>
      <c r="H58" s="86" t="s">
        <v>298</v>
      </c>
      <c r="I58" s="86" t="s">
        <v>298</v>
      </c>
      <c r="J58" s="86" t="s">
        <v>298</v>
      </c>
      <c r="K58" s="172" t="s">
        <v>298</v>
      </c>
      <c r="L58" s="172"/>
    </row>
    <row r="59" spans="1:12" x14ac:dyDescent="0.25">
      <c r="A59" s="234" t="s">
        <v>606</v>
      </c>
      <c r="B59" s="85" t="s">
        <v>185</v>
      </c>
      <c r="C59" s="85" t="s">
        <v>184</v>
      </c>
      <c r="D59" s="85" t="s">
        <v>12</v>
      </c>
      <c r="E59" s="86" t="s">
        <v>298</v>
      </c>
      <c r="F59" s="86" t="s">
        <v>298</v>
      </c>
      <c r="G59" s="86" t="s">
        <v>298</v>
      </c>
      <c r="H59" s="86" t="s">
        <v>298</v>
      </c>
      <c r="I59" s="86" t="s">
        <v>298</v>
      </c>
      <c r="J59" s="86" t="s">
        <v>298</v>
      </c>
      <c r="K59" s="172" t="s">
        <v>298</v>
      </c>
      <c r="L59" s="172"/>
    </row>
    <row r="60" spans="1:12" x14ac:dyDescent="0.25">
      <c r="A60" s="234" t="s">
        <v>606</v>
      </c>
      <c r="B60" s="85" t="s">
        <v>183</v>
      </c>
      <c r="C60" s="85" t="s">
        <v>182</v>
      </c>
      <c r="D60" s="85" t="s">
        <v>16</v>
      </c>
      <c r="E60" s="86" t="s">
        <v>298</v>
      </c>
      <c r="F60" s="86" t="s">
        <v>298</v>
      </c>
      <c r="G60" s="86" t="s">
        <v>298</v>
      </c>
      <c r="H60" s="86" t="s">
        <v>298</v>
      </c>
      <c r="I60" s="86" t="s">
        <v>298</v>
      </c>
      <c r="J60" s="86" t="s">
        <v>298</v>
      </c>
      <c r="K60" s="172" t="s">
        <v>298</v>
      </c>
      <c r="L60" s="172"/>
    </row>
    <row r="61" spans="1:12" x14ac:dyDescent="0.25">
      <c r="A61" s="234" t="s">
        <v>606</v>
      </c>
      <c r="B61" s="85" t="s">
        <v>181</v>
      </c>
      <c r="C61" s="85" t="s">
        <v>180</v>
      </c>
      <c r="D61" s="85" t="s">
        <v>12</v>
      </c>
      <c r="E61" s="86" t="s">
        <v>298</v>
      </c>
      <c r="F61" s="86" t="s">
        <v>298</v>
      </c>
      <c r="G61" s="86" t="s">
        <v>298</v>
      </c>
      <c r="H61" s="86" t="s">
        <v>298</v>
      </c>
      <c r="I61" s="86" t="s">
        <v>298</v>
      </c>
      <c r="J61" s="86" t="s">
        <v>298</v>
      </c>
      <c r="K61" s="172" t="s">
        <v>298</v>
      </c>
      <c r="L61" s="172"/>
    </row>
    <row r="62" spans="1:12" x14ac:dyDescent="0.25">
      <c r="A62" s="234" t="s">
        <v>606</v>
      </c>
      <c r="B62" s="85" t="s">
        <v>179</v>
      </c>
      <c r="C62" s="85" t="s">
        <v>178</v>
      </c>
      <c r="D62" s="85" t="s">
        <v>16</v>
      </c>
      <c r="E62" s="86" t="s">
        <v>298</v>
      </c>
      <c r="F62" s="86" t="s">
        <v>298</v>
      </c>
      <c r="G62" s="86" t="s">
        <v>298</v>
      </c>
      <c r="H62" s="86" t="s">
        <v>298</v>
      </c>
      <c r="I62" s="86" t="s">
        <v>298</v>
      </c>
      <c r="J62" s="86" t="s">
        <v>298</v>
      </c>
      <c r="K62" s="172" t="s">
        <v>298</v>
      </c>
      <c r="L62" s="172"/>
    </row>
    <row r="63" spans="1:12" x14ac:dyDescent="0.25">
      <c r="A63" s="234" t="s">
        <v>606</v>
      </c>
      <c r="B63" s="85" t="s">
        <v>177</v>
      </c>
      <c r="C63" s="85" t="s">
        <v>176</v>
      </c>
      <c r="D63" s="85" t="s">
        <v>12</v>
      </c>
      <c r="E63" s="86" t="s">
        <v>298</v>
      </c>
      <c r="F63" s="86" t="s">
        <v>298</v>
      </c>
      <c r="G63" s="86" t="s">
        <v>298</v>
      </c>
      <c r="H63" s="86" t="s">
        <v>298</v>
      </c>
      <c r="I63" s="86" t="s">
        <v>298</v>
      </c>
      <c r="J63" s="86" t="s">
        <v>298</v>
      </c>
      <c r="K63" s="172" t="s">
        <v>298</v>
      </c>
      <c r="L63" s="172"/>
    </row>
    <row r="64" spans="1:12" x14ac:dyDescent="0.25">
      <c r="A64" s="234" t="s">
        <v>606</v>
      </c>
      <c r="B64" s="85" t="s">
        <v>175</v>
      </c>
      <c r="C64" s="85" t="s">
        <v>174</v>
      </c>
      <c r="D64" s="85" t="s">
        <v>12</v>
      </c>
      <c r="E64" s="86" t="s">
        <v>298</v>
      </c>
      <c r="F64" s="86" t="s">
        <v>298</v>
      </c>
      <c r="G64" s="86" t="s">
        <v>298</v>
      </c>
      <c r="H64" s="86" t="s">
        <v>298</v>
      </c>
      <c r="I64" s="86" t="s">
        <v>298</v>
      </c>
      <c r="J64" s="86" t="s">
        <v>298</v>
      </c>
      <c r="K64" s="172" t="s">
        <v>298</v>
      </c>
      <c r="L64" s="172"/>
    </row>
    <row r="65" spans="1:14" x14ac:dyDescent="0.25">
      <c r="A65" s="234" t="s">
        <v>606</v>
      </c>
      <c r="B65" s="85" t="s">
        <v>173</v>
      </c>
      <c r="C65" s="85" t="s">
        <v>172</v>
      </c>
      <c r="D65" s="85" t="s">
        <v>12</v>
      </c>
      <c r="E65" s="86" t="s">
        <v>298</v>
      </c>
      <c r="F65" s="86" t="s">
        <v>298</v>
      </c>
      <c r="G65" s="86" t="s">
        <v>298</v>
      </c>
      <c r="H65" s="86" t="s">
        <v>298</v>
      </c>
      <c r="I65" s="86" t="s">
        <v>298</v>
      </c>
      <c r="J65" s="86" t="s">
        <v>298</v>
      </c>
      <c r="K65" s="172" t="s">
        <v>298</v>
      </c>
      <c r="L65" s="172"/>
    </row>
    <row r="66" spans="1:14" x14ac:dyDescent="0.25">
      <c r="A66" s="234" t="s">
        <v>606</v>
      </c>
      <c r="B66" s="85" t="s">
        <v>171</v>
      </c>
      <c r="C66" s="85" t="s">
        <v>170</v>
      </c>
      <c r="D66" s="85" t="s">
        <v>12</v>
      </c>
      <c r="E66" s="86" t="s">
        <v>298</v>
      </c>
      <c r="F66" s="86" t="s">
        <v>298</v>
      </c>
      <c r="G66" s="86" t="s">
        <v>298</v>
      </c>
      <c r="H66" s="86" t="s">
        <v>298</v>
      </c>
      <c r="I66" s="86" t="s">
        <v>298</v>
      </c>
      <c r="J66" s="86" t="s">
        <v>298</v>
      </c>
      <c r="K66" s="172" t="s">
        <v>298</v>
      </c>
      <c r="L66" s="172"/>
    </row>
    <row r="67" spans="1:14" x14ac:dyDescent="0.25">
      <c r="A67" s="234" t="s">
        <v>606</v>
      </c>
      <c r="B67" s="85" t="s">
        <v>169</v>
      </c>
      <c r="C67" s="85" t="s">
        <v>168</v>
      </c>
      <c r="D67" s="85" t="s">
        <v>12</v>
      </c>
      <c r="E67" s="86" t="s">
        <v>298</v>
      </c>
      <c r="F67" s="86" t="s">
        <v>298</v>
      </c>
      <c r="G67" s="86" t="s">
        <v>298</v>
      </c>
      <c r="H67" s="86" t="s">
        <v>298</v>
      </c>
      <c r="I67" s="86" t="s">
        <v>298</v>
      </c>
      <c r="J67" s="86" t="s">
        <v>298</v>
      </c>
      <c r="K67" s="172" t="s">
        <v>298</v>
      </c>
      <c r="L67" s="172"/>
    </row>
    <row r="68" spans="1:14" x14ac:dyDescent="0.25">
      <c r="A68" s="234" t="s">
        <v>589</v>
      </c>
      <c r="B68" s="89" t="s">
        <v>10</v>
      </c>
      <c r="C68" s="89" t="s">
        <v>11</v>
      </c>
      <c r="D68" s="89" t="s">
        <v>12</v>
      </c>
      <c r="E68" s="90" t="s">
        <v>298</v>
      </c>
      <c r="F68" s="90" t="s">
        <v>298</v>
      </c>
      <c r="G68" s="90" t="s">
        <v>298</v>
      </c>
      <c r="H68" s="90" t="s">
        <v>298</v>
      </c>
      <c r="I68" s="90" t="s">
        <v>298</v>
      </c>
      <c r="J68" s="90" t="s">
        <v>298</v>
      </c>
      <c r="K68" s="172" t="s">
        <v>298</v>
      </c>
      <c r="L68" s="172" t="s">
        <v>625</v>
      </c>
      <c r="M68" s="1">
        <f>SUM(K68:K114)</f>
        <v>22711774.100000001</v>
      </c>
      <c r="N68" s="242" t="s">
        <v>298</v>
      </c>
    </row>
    <row r="69" spans="1:14" x14ac:dyDescent="0.25">
      <c r="A69" s="234" t="s">
        <v>589</v>
      </c>
      <c r="B69" s="89" t="s">
        <v>14</v>
      </c>
      <c r="C69" s="89" t="s">
        <v>15</v>
      </c>
      <c r="D69" s="89" t="s">
        <v>16</v>
      </c>
      <c r="E69" s="90" t="s">
        <v>298</v>
      </c>
      <c r="F69" s="90" t="s">
        <v>298</v>
      </c>
      <c r="G69" s="90" t="s">
        <v>298</v>
      </c>
      <c r="H69" s="90" t="s">
        <v>298</v>
      </c>
      <c r="I69" s="90" t="s">
        <v>298</v>
      </c>
      <c r="J69" s="90" t="s">
        <v>298</v>
      </c>
      <c r="K69" s="172" t="s">
        <v>298</v>
      </c>
      <c r="L69" s="172"/>
      <c r="N69" s="242" t="s">
        <v>298</v>
      </c>
    </row>
    <row r="70" spans="1:14" x14ac:dyDescent="0.25">
      <c r="A70" s="234" t="s">
        <v>589</v>
      </c>
      <c r="B70" s="89" t="s">
        <v>17</v>
      </c>
      <c r="C70" s="89" t="s">
        <v>18</v>
      </c>
      <c r="D70" s="89" t="s">
        <v>12</v>
      </c>
      <c r="E70" s="90">
        <v>0</v>
      </c>
      <c r="F70" s="90" t="s">
        <v>298</v>
      </c>
      <c r="G70" s="90" t="s">
        <v>298</v>
      </c>
      <c r="H70" s="90" t="s">
        <v>298</v>
      </c>
      <c r="I70" s="90" t="s">
        <v>298</v>
      </c>
      <c r="J70" s="90" t="s">
        <v>298</v>
      </c>
      <c r="K70" s="172" t="s">
        <v>298</v>
      </c>
      <c r="L70" s="172"/>
      <c r="N70" s="242" t="s">
        <v>298</v>
      </c>
    </row>
    <row r="71" spans="1:14" x14ac:dyDescent="0.25">
      <c r="A71" s="234" t="s">
        <v>589</v>
      </c>
      <c r="B71" s="89" t="s">
        <v>19</v>
      </c>
      <c r="C71" s="89" t="s">
        <v>20</v>
      </c>
      <c r="D71" s="89" t="s">
        <v>21</v>
      </c>
      <c r="E71" s="90">
        <v>366479.21</v>
      </c>
      <c r="F71" s="90">
        <v>277816.3</v>
      </c>
      <c r="G71" s="90">
        <v>619632.31000000006</v>
      </c>
      <c r="H71" s="90">
        <v>465193.78</v>
      </c>
      <c r="I71" s="90">
        <v>485276.46</v>
      </c>
      <c r="J71" s="90">
        <v>203001.13</v>
      </c>
      <c r="K71" s="172">
        <v>332689.02</v>
      </c>
      <c r="L71" s="172"/>
      <c r="N71" s="242">
        <v>332689.02</v>
      </c>
    </row>
    <row r="72" spans="1:14" x14ac:dyDescent="0.25">
      <c r="A72" s="234" t="s">
        <v>589</v>
      </c>
      <c r="B72" s="89" t="s">
        <v>22</v>
      </c>
      <c r="C72" s="89" t="s">
        <v>23</v>
      </c>
      <c r="D72" s="89" t="s">
        <v>12</v>
      </c>
      <c r="E72" s="90" t="s">
        <v>298</v>
      </c>
      <c r="F72" s="90" t="s">
        <v>298</v>
      </c>
      <c r="G72" s="90" t="s">
        <v>298</v>
      </c>
      <c r="H72" s="90" t="s">
        <v>298</v>
      </c>
      <c r="I72" s="90" t="s">
        <v>298</v>
      </c>
      <c r="J72" s="90" t="s">
        <v>298</v>
      </c>
      <c r="K72" s="172" t="s">
        <v>298</v>
      </c>
      <c r="L72" s="172"/>
      <c r="N72" s="242" t="s">
        <v>298</v>
      </c>
    </row>
    <row r="73" spans="1:14" x14ac:dyDescent="0.25">
      <c r="A73" s="234" t="s">
        <v>589</v>
      </c>
      <c r="B73" s="89" t="s">
        <v>24</v>
      </c>
      <c r="C73" s="89" t="s">
        <v>25</v>
      </c>
      <c r="D73" s="89" t="s">
        <v>21</v>
      </c>
      <c r="E73" s="90">
        <v>232797</v>
      </c>
      <c r="F73" s="90">
        <v>150165.54</v>
      </c>
      <c r="G73" s="90">
        <v>135722.48000000001</v>
      </c>
      <c r="H73" s="90">
        <v>135603.22</v>
      </c>
      <c r="I73" s="90">
        <v>223403.77</v>
      </c>
      <c r="J73" s="90">
        <v>169925.2</v>
      </c>
      <c r="K73" s="172">
        <v>180700.69</v>
      </c>
      <c r="L73" s="172"/>
      <c r="N73" s="242">
        <v>180700.69</v>
      </c>
    </row>
    <row r="74" spans="1:14" x14ac:dyDescent="0.25">
      <c r="A74" s="234" t="s">
        <v>589</v>
      </c>
      <c r="B74" s="89" t="s">
        <v>26</v>
      </c>
      <c r="C74" s="89" t="s">
        <v>27</v>
      </c>
      <c r="D74" s="89" t="s">
        <v>21</v>
      </c>
      <c r="E74" s="90">
        <v>4508354.29</v>
      </c>
      <c r="F74" s="90">
        <v>2728885.68</v>
      </c>
      <c r="G74" s="90">
        <v>2773765.2</v>
      </c>
      <c r="H74" s="90">
        <v>7722785.21</v>
      </c>
      <c r="I74" s="90">
        <v>5022366.5</v>
      </c>
      <c r="J74" s="90">
        <v>3896702.97</v>
      </c>
      <c r="K74" s="172">
        <v>2934040.7</v>
      </c>
      <c r="L74" s="172"/>
      <c r="N74" s="242">
        <v>2934040.7</v>
      </c>
    </row>
    <row r="75" spans="1:14" x14ac:dyDescent="0.25">
      <c r="A75" s="234" t="s">
        <v>589</v>
      </c>
      <c r="B75" s="89" t="s">
        <v>28</v>
      </c>
      <c r="C75" s="89" t="s">
        <v>29</v>
      </c>
      <c r="D75" s="89" t="s">
        <v>21</v>
      </c>
      <c r="E75" s="90">
        <v>1487988.16</v>
      </c>
      <c r="F75" s="90">
        <v>1658414.64</v>
      </c>
      <c r="G75" s="90">
        <v>2195460.14</v>
      </c>
      <c r="H75" s="90">
        <v>1711854.62</v>
      </c>
      <c r="I75" s="90">
        <v>1318403.54</v>
      </c>
      <c r="J75" s="90">
        <v>1010796.5</v>
      </c>
      <c r="K75" s="172">
        <v>1085817.42</v>
      </c>
      <c r="L75" s="172"/>
      <c r="N75" s="242">
        <v>1085817.42</v>
      </c>
    </row>
    <row r="76" spans="1:14" x14ac:dyDescent="0.25">
      <c r="A76" s="234" t="s">
        <v>589</v>
      </c>
      <c r="B76" s="89" t="s">
        <v>30</v>
      </c>
      <c r="C76" s="89" t="s">
        <v>31</v>
      </c>
      <c r="D76" s="89" t="s">
        <v>21</v>
      </c>
      <c r="E76" s="90">
        <v>459071.95</v>
      </c>
      <c r="F76" s="90">
        <v>362134.73</v>
      </c>
      <c r="G76" s="90">
        <v>330233.24</v>
      </c>
      <c r="H76" s="90">
        <v>295045.81</v>
      </c>
      <c r="I76" s="90">
        <v>231676.62</v>
      </c>
      <c r="J76" s="90">
        <v>144927.72</v>
      </c>
      <c r="K76" s="172">
        <v>71304.66</v>
      </c>
      <c r="L76" s="172"/>
      <c r="N76" s="242">
        <v>71304.66</v>
      </c>
    </row>
    <row r="77" spans="1:14" x14ac:dyDescent="0.25">
      <c r="A77" s="234" t="s">
        <v>589</v>
      </c>
      <c r="B77" s="89" t="s">
        <v>32</v>
      </c>
      <c r="C77" s="89" t="s">
        <v>33</v>
      </c>
      <c r="D77" s="89" t="s">
        <v>21</v>
      </c>
      <c r="E77" s="90">
        <v>92067.62</v>
      </c>
      <c r="F77" s="90">
        <v>68138.12</v>
      </c>
      <c r="G77" s="90">
        <v>88362.34</v>
      </c>
      <c r="H77" s="90">
        <v>80419.83</v>
      </c>
      <c r="I77" s="90">
        <v>54230.76</v>
      </c>
      <c r="J77" s="90">
        <v>65250.26</v>
      </c>
      <c r="K77" s="172">
        <v>73405.67</v>
      </c>
      <c r="L77" s="172"/>
      <c r="N77" s="242">
        <v>73405.67</v>
      </c>
    </row>
    <row r="78" spans="1:14" x14ac:dyDescent="0.25">
      <c r="A78" s="234" t="s">
        <v>589</v>
      </c>
      <c r="B78" s="89" t="s">
        <v>34</v>
      </c>
      <c r="C78" s="89" t="s">
        <v>35</v>
      </c>
      <c r="D78" s="89" t="s">
        <v>21</v>
      </c>
      <c r="E78" s="90">
        <v>1672425.11</v>
      </c>
      <c r="F78" s="90">
        <v>2144631.62</v>
      </c>
      <c r="G78" s="90">
        <v>2784583.3</v>
      </c>
      <c r="H78" s="90">
        <v>3018194.46</v>
      </c>
      <c r="I78" s="90">
        <v>2938628.06</v>
      </c>
      <c r="J78" s="90">
        <v>3405692.88</v>
      </c>
      <c r="K78" s="172">
        <v>2662608.69</v>
      </c>
      <c r="L78" s="172"/>
      <c r="N78" s="242">
        <v>2662608.69</v>
      </c>
    </row>
    <row r="79" spans="1:14" x14ac:dyDescent="0.25">
      <c r="A79" s="234" t="s">
        <v>589</v>
      </c>
      <c r="B79" s="89" t="s">
        <v>36</v>
      </c>
      <c r="C79" s="89" t="s">
        <v>37</v>
      </c>
      <c r="D79" s="89" t="s">
        <v>21</v>
      </c>
      <c r="E79" s="90">
        <v>126789.44</v>
      </c>
      <c r="F79" s="90">
        <v>99884.66</v>
      </c>
      <c r="G79" s="90">
        <v>169915.95</v>
      </c>
      <c r="H79" s="90">
        <v>100830.65</v>
      </c>
      <c r="I79" s="90">
        <v>102771.3</v>
      </c>
      <c r="J79" s="90">
        <v>97741.47</v>
      </c>
      <c r="K79" s="172">
        <v>137148.51</v>
      </c>
      <c r="L79" s="172"/>
      <c r="N79" s="242">
        <v>137148.51</v>
      </c>
    </row>
    <row r="80" spans="1:14" x14ac:dyDescent="0.25">
      <c r="A80" s="234" t="s">
        <v>589</v>
      </c>
      <c r="B80" s="89" t="s">
        <v>38</v>
      </c>
      <c r="C80" s="89" t="s">
        <v>39</v>
      </c>
      <c r="D80" s="89" t="s">
        <v>12</v>
      </c>
      <c r="E80" s="90" t="s">
        <v>298</v>
      </c>
      <c r="F80" s="90" t="s">
        <v>298</v>
      </c>
      <c r="G80" s="90" t="s">
        <v>298</v>
      </c>
      <c r="H80" s="90" t="s">
        <v>298</v>
      </c>
      <c r="I80" s="90" t="s">
        <v>298</v>
      </c>
      <c r="J80" s="90" t="s">
        <v>298</v>
      </c>
      <c r="K80" s="172" t="s">
        <v>298</v>
      </c>
      <c r="L80" s="172"/>
      <c r="N80" s="242" t="s">
        <v>298</v>
      </c>
    </row>
    <row r="81" spans="1:14" x14ac:dyDescent="0.25">
      <c r="A81" s="234" t="s">
        <v>589</v>
      </c>
      <c r="B81" s="89" t="s">
        <v>40</v>
      </c>
      <c r="C81" s="89" t="s">
        <v>41</v>
      </c>
      <c r="D81" s="89" t="s">
        <v>21</v>
      </c>
      <c r="E81" s="90">
        <v>192066.19</v>
      </c>
      <c r="F81" s="90">
        <v>253031.54</v>
      </c>
      <c r="G81" s="90">
        <v>314654.65000000002</v>
      </c>
      <c r="H81" s="90">
        <v>295700.95</v>
      </c>
      <c r="I81" s="90">
        <v>169925.21</v>
      </c>
      <c r="J81" s="90">
        <v>85147.24</v>
      </c>
      <c r="K81" s="172">
        <v>82726.87</v>
      </c>
      <c r="L81" s="172"/>
      <c r="N81" s="242">
        <v>82726.87</v>
      </c>
    </row>
    <row r="82" spans="1:14" x14ac:dyDescent="0.25">
      <c r="A82" s="234" t="s">
        <v>589</v>
      </c>
      <c r="B82" s="89" t="s">
        <v>42</v>
      </c>
      <c r="C82" s="89" t="s">
        <v>43</v>
      </c>
      <c r="D82" s="89" t="s">
        <v>21</v>
      </c>
      <c r="E82" s="90">
        <v>92891</v>
      </c>
      <c r="F82" s="90">
        <v>36553.56</v>
      </c>
      <c r="G82" s="90">
        <v>33368.67</v>
      </c>
      <c r="H82" s="90">
        <v>77732.83</v>
      </c>
      <c r="I82" s="90">
        <v>26630.53</v>
      </c>
      <c r="J82" s="90">
        <v>84744.54</v>
      </c>
      <c r="K82" s="172">
        <v>1255.3499999999999</v>
      </c>
      <c r="L82" s="172"/>
      <c r="N82" s="242">
        <v>1255.3499999999999</v>
      </c>
    </row>
    <row r="83" spans="1:14" x14ac:dyDescent="0.25">
      <c r="A83" s="234" t="s">
        <v>589</v>
      </c>
      <c r="B83" s="89" t="s">
        <v>44</v>
      </c>
      <c r="C83" s="89" t="s">
        <v>45</v>
      </c>
      <c r="D83" s="89" t="s">
        <v>21</v>
      </c>
      <c r="E83" s="90">
        <v>63200.31</v>
      </c>
      <c r="F83" s="90">
        <v>52989.33</v>
      </c>
      <c r="G83" s="90">
        <v>44359.12</v>
      </c>
      <c r="H83" s="90">
        <v>98749.77</v>
      </c>
      <c r="I83" s="90">
        <v>50872.63</v>
      </c>
      <c r="J83" s="90">
        <v>17136.599999999999</v>
      </c>
      <c r="K83" s="172">
        <v>6496.57</v>
      </c>
      <c r="L83" s="172"/>
      <c r="N83" s="242">
        <v>6496.57</v>
      </c>
    </row>
    <row r="84" spans="1:14" x14ac:dyDescent="0.25">
      <c r="A84" s="234" t="s">
        <v>589</v>
      </c>
      <c r="B84" s="89" t="s">
        <v>46</v>
      </c>
      <c r="C84" s="89" t="s">
        <v>47</v>
      </c>
      <c r="D84" s="89" t="s">
        <v>12</v>
      </c>
      <c r="E84" s="90" t="s">
        <v>298</v>
      </c>
      <c r="F84" s="90" t="s">
        <v>298</v>
      </c>
      <c r="G84" s="90" t="s">
        <v>298</v>
      </c>
      <c r="H84" s="90" t="s">
        <v>298</v>
      </c>
      <c r="I84" s="90" t="s">
        <v>298</v>
      </c>
      <c r="J84" s="90" t="s">
        <v>298</v>
      </c>
      <c r="K84" s="172" t="s">
        <v>298</v>
      </c>
      <c r="L84" s="172"/>
      <c r="N84" s="242" t="s">
        <v>298</v>
      </c>
    </row>
    <row r="85" spans="1:14" x14ac:dyDescent="0.25">
      <c r="A85" s="234" t="s">
        <v>589</v>
      </c>
      <c r="B85" s="89" t="s">
        <v>48</v>
      </c>
      <c r="C85" s="89" t="s">
        <v>49</v>
      </c>
      <c r="D85" s="89" t="s">
        <v>21</v>
      </c>
      <c r="E85" s="90">
        <v>47546.57</v>
      </c>
      <c r="F85" s="90">
        <v>37180.42</v>
      </c>
      <c r="G85" s="90">
        <v>88646.89</v>
      </c>
      <c r="H85" s="90">
        <v>91056.76</v>
      </c>
      <c r="I85" s="90">
        <v>23596.73</v>
      </c>
      <c r="J85" s="90">
        <v>13413.04</v>
      </c>
      <c r="K85" s="172">
        <v>22241.09</v>
      </c>
      <c r="L85" s="172"/>
      <c r="N85" s="242">
        <v>22241.09</v>
      </c>
    </row>
    <row r="86" spans="1:14" x14ac:dyDescent="0.25">
      <c r="A86" s="234" t="s">
        <v>589</v>
      </c>
      <c r="B86" s="89" t="s">
        <v>50</v>
      </c>
      <c r="C86" s="89" t="s">
        <v>51</v>
      </c>
      <c r="D86" s="89" t="s">
        <v>12</v>
      </c>
      <c r="E86" s="90" t="s">
        <v>298</v>
      </c>
      <c r="F86" s="90" t="s">
        <v>298</v>
      </c>
      <c r="G86" s="90" t="s">
        <v>298</v>
      </c>
      <c r="H86" s="90" t="s">
        <v>298</v>
      </c>
      <c r="I86" s="90" t="s">
        <v>298</v>
      </c>
      <c r="J86" s="90" t="s">
        <v>298</v>
      </c>
      <c r="K86" s="172" t="s">
        <v>298</v>
      </c>
      <c r="L86" s="172"/>
      <c r="N86" s="242" t="s">
        <v>298</v>
      </c>
    </row>
    <row r="87" spans="1:14" x14ac:dyDescent="0.25">
      <c r="A87" s="234" t="s">
        <v>589</v>
      </c>
      <c r="B87" s="89" t="s">
        <v>52</v>
      </c>
      <c r="C87" s="89" t="s">
        <v>53</v>
      </c>
      <c r="D87" s="89" t="s">
        <v>21</v>
      </c>
      <c r="E87" s="90">
        <v>59977.86</v>
      </c>
      <c r="F87" s="90">
        <v>59811.55</v>
      </c>
      <c r="G87" s="90">
        <v>27325.52</v>
      </c>
      <c r="H87" s="90">
        <v>32135.45</v>
      </c>
      <c r="I87" s="90">
        <v>37623.75</v>
      </c>
      <c r="J87" s="90">
        <v>4178.17</v>
      </c>
      <c r="K87" s="172">
        <v>4196.8</v>
      </c>
      <c r="L87" s="172"/>
      <c r="N87" s="242">
        <v>4196.8</v>
      </c>
    </row>
    <row r="88" spans="1:14" x14ac:dyDescent="0.25">
      <c r="A88" s="234" t="s">
        <v>589</v>
      </c>
      <c r="B88" s="89" t="s">
        <v>54</v>
      </c>
      <c r="C88" s="89" t="s">
        <v>55</v>
      </c>
      <c r="D88" s="89" t="s">
        <v>21</v>
      </c>
      <c r="E88" s="90">
        <v>857862.76</v>
      </c>
      <c r="F88" s="90">
        <v>947838</v>
      </c>
      <c r="G88" s="90">
        <v>1773425.94</v>
      </c>
      <c r="H88" s="90">
        <v>1517409.65</v>
      </c>
      <c r="I88" s="90">
        <v>1261221.99</v>
      </c>
      <c r="J88" s="90">
        <v>1401639.44</v>
      </c>
      <c r="K88" s="172">
        <v>796878.58</v>
      </c>
      <c r="L88" s="172"/>
      <c r="N88" s="242">
        <v>796878.58</v>
      </c>
    </row>
    <row r="89" spans="1:14" x14ac:dyDescent="0.25">
      <c r="A89" s="234" t="s">
        <v>589</v>
      </c>
      <c r="B89" s="89" t="s">
        <v>56</v>
      </c>
      <c r="C89" s="89" t="s">
        <v>57</v>
      </c>
      <c r="D89" s="89" t="s">
        <v>21</v>
      </c>
      <c r="E89" s="90">
        <v>82046.8</v>
      </c>
      <c r="F89" s="90">
        <v>159389.65</v>
      </c>
      <c r="G89" s="90">
        <v>115222.2</v>
      </c>
      <c r="H89" s="90">
        <v>133825.68</v>
      </c>
      <c r="I89" s="90">
        <v>121558.82</v>
      </c>
      <c r="J89" s="90">
        <v>94188.68</v>
      </c>
      <c r="K89" s="172">
        <v>105095.86</v>
      </c>
      <c r="L89" s="172"/>
      <c r="N89" s="242">
        <v>105095.86</v>
      </c>
    </row>
    <row r="90" spans="1:14" x14ac:dyDescent="0.25">
      <c r="A90" s="234" t="s">
        <v>589</v>
      </c>
      <c r="B90" s="89" t="s">
        <v>58</v>
      </c>
      <c r="C90" s="89" t="s">
        <v>59</v>
      </c>
      <c r="D90" s="89" t="s">
        <v>21</v>
      </c>
      <c r="E90" s="90">
        <v>18149.330000000002</v>
      </c>
      <c r="F90" s="90">
        <v>23595.53</v>
      </c>
      <c r="G90" s="90">
        <v>59494.22</v>
      </c>
      <c r="H90" s="90">
        <v>50168.61</v>
      </c>
      <c r="I90" s="90">
        <v>19169.97</v>
      </c>
      <c r="J90" s="90">
        <v>47559.46</v>
      </c>
      <c r="K90" s="172">
        <v>45187.82</v>
      </c>
      <c r="L90" s="172"/>
      <c r="N90" s="242">
        <v>45187.82</v>
      </c>
    </row>
    <row r="91" spans="1:14" x14ac:dyDescent="0.25">
      <c r="A91" s="234" t="s">
        <v>589</v>
      </c>
      <c r="B91" s="89" t="s">
        <v>60</v>
      </c>
      <c r="C91" s="89" t="s">
        <v>61</v>
      </c>
      <c r="D91" s="89" t="s">
        <v>21</v>
      </c>
      <c r="E91" s="90">
        <v>1193600.26</v>
      </c>
      <c r="F91" s="90">
        <v>828486.45</v>
      </c>
      <c r="G91" s="90">
        <v>1646005.65</v>
      </c>
      <c r="H91" s="90">
        <v>1816712.38</v>
      </c>
      <c r="I91" s="90">
        <v>1323564.69</v>
      </c>
      <c r="J91" s="90">
        <v>1033602.2</v>
      </c>
      <c r="K91" s="172">
        <v>850771.88</v>
      </c>
      <c r="L91" s="172"/>
      <c r="N91" s="242">
        <v>850771.88</v>
      </c>
    </row>
    <row r="92" spans="1:14" x14ac:dyDescent="0.25">
      <c r="A92" s="234" t="s">
        <v>589</v>
      </c>
      <c r="B92" s="89" t="s">
        <v>62</v>
      </c>
      <c r="C92" s="89" t="s">
        <v>63</v>
      </c>
      <c r="D92" s="89" t="s">
        <v>21</v>
      </c>
      <c r="E92" s="90">
        <v>3500452.86</v>
      </c>
      <c r="F92" s="90">
        <v>4752105.8600000003</v>
      </c>
      <c r="G92" s="90">
        <v>4165779.17</v>
      </c>
      <c r="H92" s="90">
        <v>4934004.8600000003</v>
      </c>
      <c r="I92" s="90">
        <v>6198627.2300000004</v>
      </c>
      <c r="J92" s="90">
        <v>4127709.96</v>
      </c>
      <c r="K92" s="172">
        <v>7268312.8600000003</v>
      </c>
      <c r="L92" s="172"/>
      <c r="N92" s="242">
        <v>7268312.8600000003</v>
      </c>
    </row>
    <row r="93" spans="1:14" x14ac:dyDescent="0.25">
      <c r="A93" s="234" t="s">
        <v>589</v>
      </c>
      <c r="B93" s="89" t="s">
        <v>64</v>
      </c>
      <c r="C93" s="89" t="s">
        <v>65</v>
      </c>
      <c r="D93" s="89" t="s">
        <v>21</v>
      </c>
      <c r="E93" s="90">
        <v>299216.73</v>
      </c>
      <c r="F93" s="90">
        <v>566482.57999999996</v>
      </c>
      <c r="G93" s="90">
        <v>434492.88</v>
      </c>
      <c r="H93" s="90">
        <v>341491.89</v>
      </c>
      <c r="I93" s="90">
        <v>259354.62</v>
      </c>
      <c r="J93" s="90">
        <v>331993.53999999998</v>
      </c>
      <c r="K93" s="172">
        <v>292481.76</v>
      </c>
      <c r="L93" s="172"/>
      <c r="N93" s="242">
        <v>292481.76</v>
      </c>
    </row>
    <row r="94" spans="1:14" x14ac:dyDescent="0.25">
      <c r="A94" s="234" t="s">
        <v>589</v>
      </c>
      <c r="B94" s="89" t="s">
        <v>66</v>
      </c>
      <c r="C94" s="89" t="s">
        <v>67</v>
      </c>
      <c r="D94" s="89" t="s">
        <v>21</v>
      </c>
      <c r="E94" s="90">
        <v>0</v>
      </c>
      <c r="F94" s="90">
        <v>0</v>
      </c>
      <c r="G94" s="90">
        <v>0</v>
      </c>
      <c r="H94" s="90" t="s">
        <v>298</v>
      </c>
      <c r="I94" s="90" t="s">
        <v>298</v>
      </c>
      <c r="J94" s="90" t="s">
        <v>298</v>
      </c>
      <c r="K94" s="172" t="s">
        <v>298</v>
      </c>
      <c r="L94" s="172"/>
      <c r="N94" s="242" t="s">
        <v>298</v>
      </c>
    </row>
    <row r="95" spans="1:14" x14ac:dyDescent="0.25">
      <c r="A95" s="234" t="s">
        <v>589</v>
      </c>
      <c r="B95" s="89" t="s">
        <v>68</v>
      </c>
      <c r="C95" s="89" t="s">
        <v>69</v>
      </c>
      <c r="D95" s="89" t="s">
        <v>12</v>
      </c>
      <c r="E95" s="90" t="s">
        <v>298</v>
      </c>
      <c r="F95" s="90" t="s">
        <v>298</v>
      </c>
      <c r="G95" s="90" t="s">
        <v>298</v>
      </c>
      <c r="H95" s="90" t="s">
        <v>298</v>
      </c>
      <c r="I95" s="90" t="s">
        <v>298</v>
      </c>
      <c r="J95" s="90" t="s">
        <v>298</v>
      </c>
      <c r="K95" s="172" t="s">
        <v>298</v>
      </c>
      <c r="L95" s="172"/>
      <c r="N95" s="242" t="s">
        <v>298</v>
      </c>
    </row>
    <row r="96" spans="1:14" x14ac:dyDescent="0.25">
      <c r="A96" s="234" t="s">
        <v>589</v>
      </c>
      <c r="B96" s="89" t="s">
        <v>71</v>
      </c>
      <c r="C96" s="89" t="s">
        <v>72</v>
      </c>
      <c r="D96" s="89" t="s">
        <v>21</v>
      </c>
      <c r="E96" s="90">
        <v>3411109.88</v>
      </c>
      <c r="F96" s="90">
        <v>4708495.46</v>
      </c>
      <c r="G96" s="90">
        <v>5057732.66</v>
      </c>
      <c r="H96" s="90">
        <v>4589994.25</v>
      </c>
      <c r="I96" s="90">
        <v>5178954.58</v>
      </c>
      <c r="J96" s="90">
        <v>4499031.1900000004</v>
      </c>
      <c r="K96" s="172">
        <v>3805669.42</v>
      </c>
      <c r="L96" s="172"/>
      <c r="N96" s="242">
        <v>643406.23</v>
      </c>
    </row>
    <row r="97" spans="1:14" x14ac:dyDescent="0.25">
      <c r="A97" s="234" t="s">
        <v>589</v>
      </c>
      <c r="B97" s="89" t="s">
        <v>73</v>
      </c>
      <c r="C97" s="89" t="s">
        <v>74</v>
      </c>
      <c r="D97" s="89" t="s">
        <v>21</v>
      </c>
      <c r="E97" s="90">
        <v>0</v>
      </c>
      <c r="F97" s="90">
        <v>10190.629999999999</v>
      </c>
      <c r="G97" s="90">
        <v>13519.05</v>
      </c>
      <c r="H97" s="90">
        <v>21189.64</v>
      </c>
      <c r="I97" s="90">
        <v>12981.39</v>
      </c>
      <c r="J97" s="90">
        <v>2276.58</v>
      </c>
      <c r="K97" s="172">
        <v>0</v>
      </c>
      <c r="L97" s="172"/>
      <c r="N97" s="242">
        <v>3805669.42</v>
      </c>
    </row>
    <row r="98" spans="1:14" x14ac:dyDescent="0.25">
      <c r="A98" s="234" t="s">
        <v>589</v>
      </c>
      <c r="B98" s="89" t="s">
        <v>75</v>
      </c>
      <c r="C98" s="89" t="s">
        <v>76</v>
      </c>
      <c r="D98" s="89" t="s">
        <v>16</v>
      </c>
      <c r="E98" s="90" t="s">
        <v>298</v>
      </c>
      <c r="F98" s="90" t="s">
        <v>298</v>
      </c>
      <c r="G98" s="90" t="s">
        <v>298</v>
      </c>
      <c r="H98" s="90" t="s">
        <v>298</v>
      </c>
      <c r="I98" s="90" t="s">
        <v>298</v>
      </c>
      <c r="J98" s="90" t="s">
        <v>298</v>
      </c>
      <c r="K98" s="172" t="s">
        <v>298</v>
      </c>
      <c r="L98" s="172"/>
      <c r="N98" s="242">
        <v>0</v>
      </c>
    </row>
    <row r="99" spans="1:14" x14ac:dyDescent="0.25">
      <c r="A99" s="234" t="s">
        <v>589</v>
      </c>
      <c r="B99" s="89" t="s">
        <v>77</v>
      </c>
      <c r="C99" s="89" t="s">
        <v>78</v>
      </c>
      <c r="D99" s="89" t="s">
        <v>16</v>
      </c>
      <c r="E99" s="90" t="s">
        <v>298</v>
      </c>
      <c r="F99" s="90" t="s">
        <v>298</v>
      </c>
      <c r="G99" s="90" t="s">
        <v>298</v>
      </c>
      <c r="H99" s="90" t="s">
        <v>298</v>
      </c>
      <c r="I99" s="90" t="s">
        <v>298</v>
      </c>
      <c r="J99" s="90" t="s">
        <v>298</v>
      </c>
      <c r="K99" s="172" t="s">
        <v>298</v>
      </c>
      <c r="L99" s="172"/>
      <c r="N99" s="242" t="s">
        <v>298</v>
      </c>
    </row>
    <row r="100" spans="1:14" x14ac:dyDescent="0.25">
      <c r="A100" s="234" t="s">
        <v>589</v>
      </c>
      <c r="B100" s="89" t="s">
        <v>79</v>
      </c>
      <c r="C100" s="89" t="s">
        <v>80</v>
      </c>
      <c r="D100" s="89" t="s">
        <v>16</v>
      </c>
      <c r="E100" s="90" t="s">
        <v>298</v>
      </c>
      <c r="F100" s="90" t="s">
        <v>298</v>
      </c>
      <c r="G100" s="90" t="s">
        <v>298</v>
      </c>
      <c r="H100" s="90" t="s">
        <v>298</v>
      </c>
      <c r="I100" s="90" t="s">
        <v>298</v>
      </c>
      <c r="J100" s="90" t="s">
        <v>298</v>
      </c>
      <c r="K100" s="172" t="s">
        <v>298</v>
      </c>
      <c r="L100" s="172"/>
      <c r="N100" s="242" t="s">
        <v>298</v>
      </c>
    </row>
    <row r="101" spans="1:14" x14ac:dyDescent="0.25">
      <c r="A101" s="234" t="s">
        <v>589</v>
      </c>
      <c r="B101" s="89" t="s">
        <v>81</v>
      </c>
      <c r="C101" s="89" t="s">
        <v>82</v>
      </c>
      <c r="D101" s="89" t="s">
        <v>16</v>
      </c>
      <c r="E101" s="90" t="s">
        <v>298</v>
      </c>
      <c r="F101" s="90" t="s">
        <v>298</v>
      </c>
      <c r="G101" s="90" t="s">
        <v>298</v>
      </c>
      <c r="H101" s="90" t="s">
        <v>298</v>
      </c>
      <c r="I101" s="90" t="s">
        <v>298</v>
      </c>
      <c r="J101" s="90" t="s">
        <v>298</v>
      </c>
      <c r="K101" s="172" t="s">
        <v>298</v>
      </c>
      <c r="L101" s="172"/>
      <c r="N101" s="242" t="s">
        <v>298</v>
      </c>
    </row>
    <row r="102" spans="1:14" x14ac:dyDescent="0.25">
      <c r="A102" s="234" t="s">
        <v>589</v>
      </c>
      <c r="B102" s="89" t="s">
        <v>83</v>
      </c>
      <c r="C102" s="89" t="s">
        <v>84</v>
      </c>
      <c r="D102" s="89" t="s">
        <v>16</v>
      </c>
      <c r="E102" s="90" t="s">
        <v>298</v>
      </c>
      <c r="F102" s="90" t="s">
        <v>298</v>
      </c>
      <c r="G102" s="90" t="s">
        <v>298</v>
      </c>
      <c r="H102" s="90" t="s">
        <v>298</v>
      </c>
      <c r="I102" s="90" t="s">
        <v>298</v>
      </c>
      <c r="J102" s="90" t="s">
        <v>298</v>
      </c>
      <c r="K102" s="172" t="s">
        <v>298</v>
      </c>
      <c r="L102" s="172"/>
      <c r="N102" s="242" t="s">
        <v>298</v>
      </c>
    </row>
    <row r="103" spans="1:14" x14ac:dyDescent="0.25">
      <c r="A103" s="234" t="s">
        <v>589</v>
      </c>
      <c r="B103" s="89" t="s">
        <v>85</v>
      </c>
      <c r="C103" s="89" t="s">
        <v>86</v>
      </c>
      <c r="D103" s="89" t="s">
        <v>12</v>
      </c>
      <c r="E103" s="90" t="s">
        <v>298</v>
      </c>
      <c r="F103" s="90" t="s">
        <v>298</v>
      </c>
      <c r="G103" s="90" t="s">
        <v>298</v>
      </c>
      <c r="H103" s="90" t="s">
        <v>298</v>
      </c>
      <c r="I103" s="90" t="s">
        <v>298</v>
      </c>
      <c r="J103" s="90" t="s">
        <v>298</v>
      </c>
      <c r="K103" s="172" t="s">
        <v>298</v>
      </c>
      <c r="L103" s="172"/>
      <c r="N103" s="242" t="s">
        <v>298</v>
      </c>
    </row>
    <row r="104" spans="1:14" x14ac:dyDescent="0.25">
      <c r="A104" s="234" t="s">
        <v>589</v>
      </c>
      <c r="B104" s="89" t="s">
        <v>87</v>
      </c>
      <c r="C104" s="89" t="s">
        <v>88</v>
      </c>
      <c r="D104" s="89" t="s">
        <v>16</v>
      </c>
      <c r="E104" s="90" t="s">
        <v>298</v>
      </c>
      <c r="F104" s="90" t="s">
        <v>298</v>
      </c>
      <c r="G104" s="90" t="s">
        <v>298</v>
      </c>
      <c r="H104" s="90" t="s">
        <v>298</v>
      </c>
      <c r="I104" s="90" t="s">
        <v>298</v>
      </c>
      <c r="J104" s="90" t="s">
        <v>298</v>
      </c>
      <c r="K104" s="172" t="s">
        <v>298</v>
      </c>
      <c r="L104" s="172"/>
      <c r="N104" s="242" t="s">
        <v>298</v>
      </c>
    </row>
    <row r="105" spans="1:14" x14ac:dyDescent="0.25">
      <c r="A105" s="234" t="s">
        <v>589</v>
      </c>
      <c r="B105" s="89" t="s">
        <v>89</v>
      </c>
      <c r="C105" s="89" t="s">
        <v>90</v>
      </c>
      <c r="D105" s="89" t="s">
        <v>16</v>
      </c>
      <c r="E105" s="90" t="s">
        <v>298</v>
      </c>
      <c r="F105" s="90" t="s">
        <v>298</v>
      </c>
      <c r="G105" s="90" t="s">
        <v>298</v>
      </c>
      <c r="H105" s="90" t="s">
        <v>298</v>
      </c>
      <c r="I105" s="90" t="s">
        <v>298</v>
      </c>
      <c r="J105" s="90" t="s">
        <v>298</v>
      </c>
      <c r="K105" s="172" t="s">
        <v>298</v>
      </c>
      <c r="L105" s="172"/>
      <c r="N105" s="242" t="s">
        <v>298</v>
      </c>
    </row>
    <row r="106" spans="1:14" x14ac:dyDescent="0.25">
      <c r="A106" s="234" t="s">
        <v>589</v>
      </c>
      <c r="B106" s="89" t="s">
        <v>91</v>
      </c>
      <c r="C106" s="89" t="s">
        <v>92</v>
      </c>
      <c r="D106" s="89" t="s">
        <v>12</v>
      </c>
      <c r="E106" s="90" t="s">
        <v>298</v>
      </c>
      <c r="F106" s="90" t="s">
        <v>298</v>
      </c>
      <c r="G106" s="90" t="s">
        <v>298</v>
      </c>
      <c r="H106" s="90" t="s">
        <v>298</v>
      </c>
      <c r="I106" s="90" t="s">
        <v>298</v>
      </c>
      <c r="J106" s="90" t="s">
        <v>298</v>
      </c>
      <c r="K106" s="172" t="s">
        <v>298</v>
      </c>
      <c r="L106" s="172"/>
      <c r="N106" s="242" t="s">
        <v>298</v>
      </c>
    </row>
    <row r="107" spans="1:14" x14ac:dyDescent="0.25">
      <c r="A107" s="234" t="s">
        <v>589</v>
      </c>
      <c r="B107" s="89" t="s">
        <v>93</v>
      </c>
      <c r="C107" s="89" t="s">
        <v>94</v>
      </c>
      <c r="D107" s="89" t="s">
        <v>16</v>
      </c>
      <c r="E107" s="90" t="s">
        <v>298</v>
      </c>
      <c r="F107" s="90" t="s">
        <v>298</v>
      </c>
      <c r="G107" s="90" t="s">
        <v>298</v>
      </c>
      <c r="H107" s="90" t="s">
        <v>298</v>
      </c>
      <c r="I107" s="90" t="s">
        <v>298</v>
      </c>
      <c r="J107" s="90" t="s">
        <v>298</v>
      </c>
      <c r="K107" s="172" t="s">
        <v>298</v>
      </c>
      <c r="L107" s="172"/>
      <c r="N107" s="242" t="s">
        <v>298</v>
      </c>
    </row>
    <row r="108" spans="1:14" x14ac:dyDescent="0.25">
      <c r="A108" s="234" t="s">
        <v>589</v>
      </c>
      <c r="B108" s="89" t="s">
        <v>95</v>
      </c>
      <c r="C108" s="89" t="s">
        <v>96</v>
      </c>
      <c r="D108" s="89" t="s">
        <v>16</v>
      </c>
      <c r="E108" s="90" t="s">
        <v>298</v>
      </c>
      <c r="F108" s="90" t="s">
        <v>298</v>
      </c>
      <c r="G108" s="90" t="s">
        <v>298</v>
      </c>
      <c r="H108" s="90" t="s">
        <v>298</v>
      </c>
      <c r="I108" s="90" t="s">
        <v>298</v>
      </c>
      <c r="J108" s="90" t="s">
        <v>298</v>
      </c>
      <c r="K108" s="172" t="s">
        <v>298</v>
      </c>
      <c r="L108" s="172"/>
      <c r="N108" s="242" t="s">
        <v>298</v>
      </c>
    </row>
    <row r="109" spans="1:14" x14ac:dyDescent="0.25">
      <c r="A109" s="234" t="s">
        <v>589</v>
      </c>
      <c r="B109" s="89" t="s">
        <v>97</v>
      </c>
      <c r="C109" s="89" t="s">
        <v>98</v>
      </c>
      <c r="D109" s="89" t="s">
        <v>16</v>
      </c>
      <c r="E109" s="90" t="s">
        <v>298</v>
      </c>
      <c r="F109" s="90" t="s">
        <v>298</v>
      </c>
      <c r="G109" s="90" t="s">
        <v>298</v>
      </c>
      <c r="H109" s="90" t="s">
        <v>298</v>
      </c>
      <c r="I109" s="90" t="s">
        <v>298</v>
      </c>
      <c r="J109" s="90" t="s">
        <v>298</v>
      </c>
      <c r="K109" s="172" t="s">
        <v>298</v>
      </c>
      <c r="L109" s="172"/>
      <c r="N109" s="242" t="s">
        <v>298</v>
      </c>
    </row>
    <row r="110" spans="1:14" x14ac:dyDescent="0.25">
      <c r="A110" s="234" t="s">
        <v>589</v>
      </c>
      <c r="B110" s="89" t="s">
        <v>99</v>
      </c>
      <c r="C110" s="89" t="s">
        <v>100</v>
      </c>
      <c r="D110" s="89" t="s">
        <v>12</v>
      </c>
      <c r="E110" s="90">
        <v>58184.17</v>
      </c>
      <c r="F110" s="90">
        <v>104876.01</v>
      </c>
      <c r="G110" s="90">
        <v>26458.48</v>
      </c>
      <c r="H110" s="90">
        <v>58713.66</v>
      </c>
      <c r="I110" s="90">
        <v>0</v>
      </c>
      <c r="J110" s="90" t="s">
        <v>298</v>
      </c>
      <c r="K110" s="172" t="s">
        <v>298</v>
      </c>
      <c r="L110" s="172"/>
      <c r="N110" s="242" t="s">
        <v>298</v>
      </c>
    </row>
    <row r="111" spans="1:14" x14ac:dyDescent="0.25">
      <c r="A111" s="234" t="s">
        <v>589</v>
      </c>
      <c r="B111" s="89" t="s">
        <v>101</v>
      </c>
      <c r="C111" s="89" t="s">
        <v>102</v>
      </c>
      <c r="D111" s="89" t="s">
        <v>21</v>
      </c>
      <c r="E111" s="90">
        <v>648164.65</v>
      </c>
      <c r="F111" s="90">
        <v>976521.48</v>
      </c>
      <c r="G111" s="90">
        <v>968805.64</v>
      </c>
      <c r="H111" s="90">
        <v>1151913.1299999999</v>
      </c>
      <c r="I111" s="90">
        <v>1152760.46</v>
      </c>
      <c r="J111" s="90">
        <v>1580369.54</v>
      </c>
      <c r="K111" s="172">
        <v>1780197.92</v>
      </c>
      <c r="L111" s="172"/>
      <c r="N111" s="242" t="s">
        <v>298</v>
      </c>
    </row>
    <row r="112" spans="1:14" x14ac:dyDescent="0.25">
      <c r="A112" s="234" t="s">
        <v>589</v>
      </c>
      <c r="B112" s="89" t="s">
        <v>103</v>
      </c>
      <c r="C112" s="89" t="s">
        <v>104</v>
      </c>
      <c r="D112" s="89" t="s">
        <v>12</v>
      </c>
      <c r="E112" s="90">
        <v>28426.85</v>
      </c>
      <c r="F112" s="90">
        <v>0</v>
      </c>
      <c r="G112" s="90">
        <v>0</v>
      </c>
      <c r="H112" s="90" t="s">
        <v>298</v>
      </c>
      <c r="I112" s="90" t="s">
        <v>298</v>
      </c>
      <c r="J112" s="90" t="s">
        <v>298</v>
      </c>
      <c r="K112" s="172" t="s">
        <v>298</v>
      </c>
      <c r="L112" s="172"/>
      <c r="N112" s="242">
        <v>1780197.92</v>
      </c>
    </row>
    <row r="113" spans="1:14" x14ac:dyDescent="0.25">
      <c r="A113" s="234" t="s">
        <v>589</v>
      </c>
      <c r="B113" s="89" t="s">
        <v>105</v>
      </c>
      <c r="C113" s="89" t="s">
        <v>106</v>
      </c>
      <c r="D113" s="89" t="s">
        <v>16</v>
      </c>
      <c r="E113" s="90" t="s">
        <v>298</v>
      </c>
      <c r="F113" s="90" t="s">
        <v>298</v>
      </c>
      <c r="G113" s="90" t="s">
        <v>298</v>
      </c>
      <c r="H113" s="90" t="s">
        <v>298</v>
      </c>
      <c r="I113" s="90" t="s">
        <v>298</v>
      </c>
      <c r="J113" s="90" t="s">
        <v>298</v>
      </c>
      <c r="K113" s="172" t="s">
        <v>298</v>
      </c>
      <c r="L113" s="172"/>
      <c r="N113" s="242" t="s">
        <v>298</v>
      </c>
    </row>
    <row r="114" spans="1:14" x14ac:dyDescent="0.25">
      <c r="A114" s="234" t="s">
        <v>589</v>
      </c>
      <c r="B114" s="89" t="s">
        <v>107</v>
      </c>
      <c r="C114" s="89" t="s">
        <v>108</v>
      </c>
      <c r="D114" s="89" t="s">
        <v>21</v>
      </c>
      <c r="E114" s="90">
        <v>156961.67000000001</v>
      </c>
      <c r="F114" s="90">
        <v>216722.73</v>
      </c>
      <c r="G114" s="90">
        <v>58270.83</v>
      </c>
      <c r="H114" s="90">
        <v>0</v>
      </c>
      <c r="I114" s="90">
        <v>86415.32</v>
      </c>
      <c r="J114" s="90">
        <v>142436.85</v>
      </c>
      <c r="K114" s="172">
        <v>172545.96</v>
      </c>
      <c r="L114" s="172" t="s">
        <v>624</v>
      </c>
      <c r="M114" s="1">
        <f>SUM(K115:K142)</f>
        <v>4481079.18</v>
      </c>
      <c r="N114" s="242" t="s">
        <v>298</v>
      </c>
    </row>
    <row r="115" spans="1:14" x14ac:dyDescent="0.25">
      <c r="A115" s="234" t="s">
        <v>590</v>
      </c>
      <c r="B115" s="91" t="s">
        <v>110</v>
      </c>
      <c r="C115" s="91" t="s">
        <v>111</v>
      </c>
      <c r="D115" s="91" t="s">
        <v>21</v>
      </c>
      <c r="E115" s="92">
        <v>132621.78</v>
      </c>
      <c r="F115" s="92">
        <v>79310.52</v>
      </c>
      <c r="G115" s="92">
        <v>70568.94</v>
      </c>
      <c r="H115" s="92">
        <v>39184.15</v>
      </c>
      <c r="I115" s="92">
        <v>87734.46</v>
      </c>
      <c r="J115" s="92">
        <v>68972.19</v>
      </c>
      <c r="K115" s="172">
        <v>116204.17</v>
      </c>
      <c r="L115" s="172"/>
      <c r="N115" s="242">
        <v>172545.96</v>
      </c>
    </row>
    <row r="116" spans="1:14" x14ac:dyDescent="0.25">
      <c r="A116" s="234" t="s">
        <v>590</v>
      </c>
      <c r="B116" s="91" t="s">
        <v>112</v>
      </c>
      <c r="C116" s="91" t="s">
        <v>113</v>
      </c>
      <c r="D116" s="91" t="s">
        <v>21</v>
      </c>
      <c r="E116" s="92">
        <v>26843.49</v>
      </c>
      <c r="F116" s="92">
        <v>24685.43</v>
      </c>
      <c r="G116" s="92">
        <v>19117.27</v>
      </c>
      <c r="H116" s="92">
        <v>0</v>
      </c>
      <c r="I116" s="92">
        <v>0</v>
      </c>
      <c r="J116" s="92">
        <v>0</v>
      </c>
      <c r="K116" s="172">
        <v>4064.7</v>
      </c>
      <c r="L116" s="172"/>
    </row>
    <row r="117" spans="1:14" x14ac:dyDescent="0.25">
      <c r="A117" s="234" t="s">
        <v>590</v>
      </c>
      <c r="B117" s="91" t="s">
        <v>114</v>
      </c>
      <c r="C117" s="91" t="s">
        <v>115</v>
      </c>
      <c r="D117" s="91" t="s">
        <v>21</v>
      </c>
      <c r="E117" s="92">
        <v>1160833.48</v>
      </c>
      <c r="F117" s="92">
        <v>1345825.3</v>
      </c>
      <c r="G117" s="92">
        <v>1291348.1000000001</v>
      </c>
      <c r="H117" s="92">
        <v>1170490.7</v>
      </c>
      <c r="I117" s="92">
        <v>1194354.74</v>
      </c>
      <c r="J117" s="92">
        <v>1460424.32</v>
      </c>
      <c r="K117" s="172">
        <v>1076025.8999999999</v>
      </c>
      <c r="L117" s="172"/>
    </row>
    <row r="118" spans="1:14" x14ac:dyDescent="0.25">
      <c r="A118" s="234" t="s">
        <v>590</v>
      </c>
      <c r="B118" s="91" t="s">
        <v>116</v>
      </c>
      <c r="C118" s="91" t="s">
        <v>117</v>
      </c>
      <c r="D118" s="91" t="s">
        <v>21</v>
      </c>
      <c r="E118" s="92">
        <v>28908.05</v>
      </c>
      <c r="F118" s="92">
        <v>25316.76</v>
      </c>
      <c r="G118" s="92">
        <v>24046.07</v>
      </c>
      <c r="H118" s="92">
        <v>23174.46</v>
      </c>
      <c r="I118" s="92">
        <v>5180.1899999999996</v>
      </c>
      <c r="J118" s="92">
        <v>7019.43</v>
      </c>
      <c r="K118" s="172">
        <v>14112.13</v>
      </c>
      <c r="L118" s="172"/>
    </row>
    <row r="119" spans="1:14" x14ac:dyDescent="0.25">
      <c r="A119" s="234" t="s">
        <v>590</v>
      </c>
      <c r="B119" s="91" t="s">
        <v>118</v>
      </c>
      <c r="C119" s="91" t="s">
        <v>119</v>
      </c>
      <c r="D119" s="91" t="s">
        <v>12</v>
      </c>
      <c r="E119" s="92" t="s">
        <v>298</v>
      </c>
      <c r="F119" s="92" t="s">
        <v>298</v>
      </c>
      <c r="G119" s="92" t="s">
        <v>298</v>
      </c>
      <c r="H119" s="92" t="s">
        <v>298</v>
      </c>
      <c r="I119" s="92" t="s">
        <v>298</v>
      </c>
      <c r="J119" s="92" t="s">
        <v>298</v>
      </c>
      <c r="K119" s="172" t="s">
        <v>298</v>
      </c>
      <c r="L119" s="172"/>
    </row>
    <row r="120" spans="1:14" x14ac:dyDescent="0.25">
      <c r="A120" s="234" t="s">
        <v>590</v>
      </c>
      <c r="B120" s="91" t="s">
        <v>120</v>
      </c>
      <c r="C120" s="91" t="s">
        <v>121</v>
      </c>
      <c r="D120" s="91" t="s">
        <v>21</v>
      </c>
      <c r="E120" s="92">
        <v>233438.28</v>
      </c>
      <c r="F120" s="92">
        <v>169018.5</v>
      </c>
      <c r="G120" s="92">
        <v>47307.66</v>
      </c>
      <c r="H120" s="92">
        <v>40926.800000000003</v>
      </c>
      <c r="I120" s="92">
        <v>32450.33</v>
      </c>
      <c r="J120" s="92">
        <v>72713.39</v>
      </c>
      <c r="K120" s="172">
        <v>105358.21</v>
      </c>
      <c r="L120" s="172"/>
    </row>
    <row r="121" spans="1:14" x14ac:dyDescent="0.25">
      <c r="A121" s="234" t="s">
        <v>590</v>
      </c>
      <c r="B121" s="91" t="s">
        <v>122</v>
      </c>
      <c r="C121" s="91" t="s">
        <v>123</v>
      </c>
      <c r="D121" s="91" t="s">
        <v>21</v>
      </c>
      <c r="E121" s="92">
        <v>374613.87</v>
      </c>
      <c r="F121" s="92">
        <v>321976.3</v>
      </c>
      <c r="G121" s="92">
        <v>741810.67</v>
      </c>
      <c r="H121" s="92">
        <v>675113.45</v>
      </c>
      <c r="I121" s="92">
        <v>489838.22</v>
      </c>
      <c r="J121" s="92">
        <v>719273.18</v>
      </c>
      <c r="K121" s="172">
        <v>550231.5</v>
      </c>
      <c r="L121" s="172"/>
    </row>
    <row r="122" spans="1:14" x14ac:dyDescent="0.25">
      <c r="A122" s="234" t="s">
        <v>590</v>
      </c>
      <c r="B122" s="91" t="s">
        <v>124</v>
      </c>
      <c r="C122" s="91" t="s">
        <v>125</v>
      </c>
      <c r="D122" s="91" t="s">
        <v>12</v>
      </c>
      <c r="E122" s="92">
        <v>63462.28</v>
      </c>
      <c r="F122" s="92">
        <v>0</v>
      </c>
      <c r="G122" s="92">
        <v>0</v>
      </c>
      <c r="H122" s="92">
        <v>0</v>
      </c>
      <c r="I122" s="92" t="s">
        <v>298</v>
      </c>
      <c r="J122" s="92" t="s">
        <v>298</v>
      </c>
      <c r="K122" s="172" t="s">
        <v>298</v>
      </c>
      <c r="L122" s="172"/>
    </row>
    <row r="123" spans="1:14" x14ac:dyDescent="0.25">
      <c r="A123" s="234" t="s">
        <v>590</v>
      </c>
      <c r="B123" s="91" t="s">
        <v>127</v>
      </c>
      <c r="C123" s="91" t="s">
        <v>128</v>
      </c>
      <c r="D123" s="91" t="s">
        <v>12</v>
      </c>
      <c r="E123" s="92" t="s">
        <v>298</v>
      </c>
      <c r="F123" s="92" t="s">
        <v>298</v>
      </c>
      <c r="G123" s="92" t="s">
        <v>298</v>
      </c>
      <c r="H123" s="92" t="s">
        <v>298</v>
      </c>
      <c r="I123" s="92" t="s">
        <v>298</v>
      </c>
      <c r="J123" s="92" t="s">
        <v>298</v>
      </c>
      <c r="K123" s="172" t="s">
        <v>298</v>
      </c>
      <c r="L123" s="172"/>
    </row>
    <row r="124" spans="1:14" x14ac:dyDescent="0.25">
      <c r="A124" s="234" t="s">
        <v>590</v>
      </c>
      <c r="B124" s="91" t="s">
        <v>129</v>
      </c>
      <c r="C124" s="91" t="s">
        <v>130</v>
      </c>
      <c r="D124" s="91" t="s">
        <v>21</v>
      </c>
      <c r="E124" s="92">
        <v>238121.86</v>
      </c>
      <c r="F124" s="92">
        <v>202980.03</v>
      </c>
      <c r="G124" s="92">
        <v>303245</v>
      </c>
      <c r="H124" s="92">
        <v>320359.43</v>
      </c>
      <c r="I124" s="92">
        <v>258225.19</v>
      </c>
      <c r="J124" s="92">
        <v>428329.74</v>
      </c>
      <c r="K124" s="172">
        <v>312745.49</v>
      </c>
      <c r="L124" s="172"/>
    </row>
    <row r="125" spans="1:14" x14ac:dyDescent="0.25">
      <c r="A125" s="234" t="s">
        <v>590</v>
      </c>
      <c r="B125" s="91" t="s">
        <v>131</v>
      </c>
      <c r="C125" s="91" t="s">
        <v>132</v>
      </c>
      <c r="D125" s="91" t="s">
        <v>21</v>
      </c>
      <c r="E125" s="92">
        <v>65281.73</v>
      </c>
      <c r="F125" s="92">
        <v>2576.12</v>
      </c>
      <c r="G125" s="92">
        <v>18539.72</v>
      </c>
      <c r="H125" s="92">
        <v>0</v>
      </c>
      <c r="I125" s="92" t="s">
        <v>298</v>
      </c>
      <c r="J125" s="92" t="s">
        <v>298</v>
      </c>
      <c r="K125" s="172" t="s">
        <v>298</v>
      </c>
      <c r="L125" s="172"/>
    </row>
    <row r="126" spans="1:14" x14ac:dyDescent="0.25">
      <c r="A126" s="234" t="s">
        <v>590</v>
      </c>
      <c r="B126" s="91" t="s">
        <v>133</v>
      </c>
      <c r="C126" s="91" t="s">
        <v>134</v>
      </c>
      <c r="D126" s="91" t="s">
        <v>12</v>
      </c>
      <c r="E126" s="92">
        <v>776</v>
      </c>
      <c r="F126" s="92">
        <v>1647</v>
      </c>
      <c r="G126" s="92">
        <v>0</v>
      </c>
      <c r="H126" s="92" t="s">
        <v>298</v>
      </c>
      <c r="I126" s="92" t="s">
        <v>298</v>
      </c>
      <c r="J126" s="92" t="s">
        <v>298</v>
      </c>
      <c r="K126" s="172" t="s">
        <v>298</v>
      </c>
      <c r="L126" s="172"/>
    </row>
    <row r="127" spans="1:14" x14ac:dyDescent="0.25">
      <c r="A127" s="234" t="s">
        <v>590</v>
      </c>
      <c r="B127" s="91" t="s">
        <v>135</v>
      </c>
      <c r="C127" s="91" t="s">
        <v>136</v>
      </c>
      <c r="D127" s="91" t="s">
        <v>21</v>
      </c>
      <c r="E127" s="92" t="s">
        <v>298</v>
      </c>
      <c r="F127" s="92" t="s">
        <v>298</v>
      </c>
      <c r="G127" s="92" t="s">
        <v>298</v>
      </c>
      <c r="H127" s="92" t="s">
        <v>298</v>
      </c>
      <c r="I127" s="92" t="s">
        <v>298</v>
      </c>
      <c r="J127" s="92" t="s">
        <v>298</v>
      </c>
      <c r="K127" s="172" t="s">
        <v>298</v>
      </c>
      <c r="L127" s="172"/>
    </row>
    <row r="128" spans="1:14" x14ac:dyDescent="0.25">
      <c r="A128" s="234" t="s">
        <v>590</v>
      </c>
      <c r="B128" s="91" t="s">
        <v>137</v>
      </c>
      <c r="C128" s="91" t="s">
        <v>138</v>
      </c>
      <c r="D128" s="91" t="s">
        <v>21</v>
      </c>
      <c r="E128" s="92">
        <v>27602.65</v>
      </c>
      <c r="F128" s="92">
        <v>12295.82</v>
      </c>
      <c r="G128" s="92">
        <v>74031.710000000006</v>
      </c>
      <c r="H128" s="92">
        <v>14722.85</v>
      </c>
      <c r="I128" s="92">
        <v>1342.35</v>
      </c>
      <c r="J128" s="92">
        <v>20589.78</v>
      </c>
      <c r="K128" s="172">
        <v>8255.15</v>
      </c>
      <c r="L128" s="172"/>
    </row>
    <row r="129" spans="1:13" x14ac:dyDescent="0.25">
      <c r="A129" s="234" t="s">
        <v>590</v>
      </c>
      <c r="B129" s="91" t="s">
        <v>139</v>
      </c>
      <c r="C129" s="91" t="s">
        <v>140</v>
      </c>
      <c r="D129" s="91" t="s">
        <v>12</v>
      </c>
      <c r="E129" s="92" t="s">
        <v>298</v>
      </c>
      <c r="F129" s="92" t="s">
        <v>298</v>
      </c>
      <c r="G129" s="92" t="s">
        <v>298</v>
      </c>
      <c r="H129" s="92" t="s">
        <v>298</v>
      </c>
      <c r="I129" s="92" t="s">
        <v>298</v>
      </c>
      <c r="J129" s="92" t="s">
        <v>298</v>
      </c>
      <c r="K129" s="172" t="s">
        <v>298</v>
      </c>
      <c r="L129" s="172"/>
    </row>
    <row r="130" spans="1:13" x14ac:dyDescent="0.25">
      <c r="A130" s="234" t="s">
        <v>590</v>
      </c>
      <c r="B130" s="91" t="s">
        <v>141</v>
      </c>
      <c r="C130" s="91" t="s">
        <v>142</v>
      </c>
      <c r="D130" s="91" t="s">
        <v>12</v>
      </c>
      <c r="E130" s="92" t="s">
        <v>298</v>
      </c>
      <c r="F130" s="92" t="s">
        <v>298</v>
      </c>
      <c r="G130" s="92" t="s">
        <v>298</v>
      </c>
      <c r="H130" s="92" t="s">
        <v>298</v>
      </c>
      <c r="I130" s="92" t="s">
        <v>298</v>
      </c>
      <c r="J130" s="92" t="s">
        <v>298</v>
      </c>
      <c r="K130" s="172" t="s">
        <v>298</v>
      </c>
      <c r="L130" s="172"/>
    </row>
    <row r="131" spans="1:13" x14ac:dyDescent="0.25">
      <c r="A131" s="234" t="s">
        <v>590</v>
      </c>
      <c r="B131" s="91" t="s">
        <v>143</v>
      </c>
      <c r="C131" s="91" t="s">
        <v>144</v>
      </c>
      <c r="D131" s="91" t="s">
        <v>21</v>
      </c>
      <c r="E131" s="92">
        <v>1496169.7</v>
      </c>
      <c r="F131" s="92">
        <v>1740583.3</v>
      </c>
      <c r="G131" s="92">
        <v>1626746</v>
      </c>
      <c r="H131" s="92">
        <v>2241709.88</v>
      </c>
      <c r="I131" s="92">
        <v>1909628.9</v>
      </c>
      <c r="J131" s="92">
        <v>1527664.95</v>
      </c>
      <c r="K131" s="172">
        <v>1592558.82</v>
      </c>
      <c r="L131" s="172"/>
    </row>
    <row r="132" spans="1:13" x14ac:dyDescent="0.25">
      <c r="A132" s="234" t="s">
        <v>590</v>
      </c>
      <c r="B132" s="91" t="s">
        <v>145</v>
      </c>
      <c r="C132" s="91" t="s">
        <v>146</v>
      </c>
      <c r="D132" s="91" t="s">
        <v>21</v>
      </c>
      <c r="E132" s="92">
        <v>259880.19</v>
      </c>
      <c r="F132" s="92">
        <v>269560.32000000001</v>
      </c>
      <c r="G132" s="92">
        <v>319097.23</v>
      </c>
      <c r="H132" s="92">
        <v>379959.42</v>
      </c>
      <c r="I132" s="92">
        <v>433009.78</v>
      </c>
      <c r="J132" s="92">
        <v>184561.47</v>
      </c>
      <c r="K132" s="172">
        <v>437167.77</v>
      </c>
      <c r="L132" s="172"/>
    </row>
    <row r="133" spans="1:13" x14ac:dyDescent="0.25">
      <c r="A133" s="234" t="s">
        <v>590</v>
      </c>
      <c r="B133" s="91" t="s">
        <v>147</v>
      </c>
      <c r="C133" s="91" t="s">
        <v>148</v>
      </c>
      <c r="D133" s="91" t="s">
        <v>21</v>
      </c>
      <c r="E133" s="92">
        <v>22068.99</v>
      </c>
      <c r="F133" s="92">
        <v>32214.73</v>
      </c>
      <c r="G133" s="92">
        <v>42968.41</v>
      </c>
      <c r="H133" s="92">
        <v>59119.59</v>
      </c>
      <c r="I133" s="92">
        <v>8069.01</v>
      </c>
      <c r="J133" s="92">
        <v>21125</v>
      </c>
      <c r="K133" s="172">
        <v>7489.16</v>
      </c>
      <c r="L133" s="172"/>
    </row>
    <row r="134" spans="1:13" x14ac:dyDescent="0.25">
      <c r="A134" s="234" t="s">
        <v>590</v>
      </c>
      <c r="B134" s="91" t="s">
        <v>149</v>
      </c>
      <c r="C134" s="91" t="s">
        <v>150</v>
      </c>
      <c r="D134" s="91" t="s">
        <v>12</v>
      </c>
      <c r="E134" s="92" t="s">
        <v>298</v>
      </c>
      <c r="F134" s="92" t="s">
        <v>298</v>
      </c>
      <c r="G134" s="92" t="s">
        <v>298</v>
      </c>
      <c r="H134" s="92" t="s">
        <v>298</v>
      </c>
      <c r="I134" s="92" t="s">
        <v>298</v>
      </c>
      <c r="J134" s="92" t="s">
        <v>298</v>
      </c>
      <c r="K134" s="172" t="s">
        <v>298</v>
      </c>
      <c r="L134" s="172"/>
    </row>
    <row r="135" spans="1:13" x14ac:dyDescent="0.25">
      <c r="A135" s="234" t="s">
        <v>590</v>
      </c>
      <c r="B135" s="91" t="s">
        <v>151</v>
      </c>
      <c r="C135" s="91" t="s">
        <v>152</v>
      </c>
      <c r="D135" s="91" t="s">
        <v>12</v>
      </c>
      <c r="E135" s="92" t="s">
        <v>298</v>
      </c>
      <c r="F135" s="92" t="s">
        <v>298</v>
      </c>
      <c r="G135" s="92" t="s">
        <v>298</v>
      </c>
      <c r="H135" s="92" t="s">
        <v>298</v>
      </c>
      <c r="I135" s="92" t="s">
        <v>298</v>
      </c>
      <c r="J135" s="92" t="s">
        <v>298</v>
      </c>
      <c r="K135" s="172" t="s">
        <v>298</v>
      </c>
      <c r="L135" s="172"/>
    </row>
    <row r="136" spans="1:13" x14ac:dyDescent="0.25">
      <c r="A136" s="234" t="s">
        <v>590</v>
      </c>
      <c r="B136" s="91" t="s">
        <v>153</v>
      </c>
      <c r="C136" s="91" t="s">
        <v>154</v>
      </c>
      <c r="D136" s="91" t="s">
        <v>12</v>
      </c>
      <c r="E136" s="92" t="s">
        <v>298</v>
      </c>
      <c r="F136" s="92" t="s">
        <v>298</v>
      </c>
      <c r="G136" s="92" t="s">
        <v>298</v>
      </c>
      <c r="H136" s="92" t="s">
        <v>298</v>
      </c>
      <c r="I136" s="92" t="s">
        <v>298</v>
      </c>
      <c r="J136" s="92" t="s">
        <v>298</v>
      </c>
      <c r="K136" s="172" t="s">
        <v>298</v>
      </c>
      <c r="L136" s="172"/>
    </row>
    <row r="137" spans="1:13" x14ac:dyDescent="0.25">
      <c r="A137" s="234" t="s">
        <v>590</v>
      </c>
      <c r="B137" s="91" t="s">
        <v>155</v>
      </c>
      <c r="C137" s="91" t="s">
        <v>156</v>
      </c>
      <c r="D137" s="91" t="s">
        <v>12</v>
      </c>
      <c r="E137" s="92" t="s">
        <v>298</v>
      </c>
      <c r="F137" s="92" t="s">
        <v>298</v>
      </c>
      <c r="G137" s="92" t="s">
        <v>298</v>
      </c>
      <c r="H137" s="92" t="s">
        <v>298</v>
      </c>
      <c r="I137" s="92" t="s">
        <v>298</v>
      </c>
      <c r="J137" s="92" t="s">
        <v>298</v>
      </c>
      <c r="K137" s="172" t="s">
        <v>298</v>
      </c>
      <c r="L137" s="172"/>
    </row>
    <row r="138" spans="1:13" x14ac:dyDescent="0.25">
      <c r="A138" s="234" t="s">
        <v>590</v>
      </c>
      <c r="B138" s="91" t="s">
        <v>157</v>
      </c>
      <c r="C138" s="91" t="s">
        <v>158</v>
      </c>
      <c r="D138" s="91" t="s">
        <v>12</v>
      </c>
      <c r="E138" s="92" t="s">
        <v>298</v>
      </c>
      <c r="F138" s="92" t="s">
        <v>298</v>
      </c>
      <c r="G138" s="92" t="s">
        <v>298</v>
      </c>
      <c r="H138" s="92" t="s">
        <v>298</v>
      </c>
      <c r="I138" s="92" t="s">
        <v>298</v>
      </c>
      <c r="J138" s="92" t="s">
        <v>298</v>
      </c>
      <c r="K138" s="172" t="s">
        <v>298</v>
      </c>
      <c r="L138" s="172"/>
    </row>
    <row r="139" spans="1:13" x14ac:dyDescent="0.25">
      <c r="A139" s="234" t="s">
        <v>590</v>
      </c>
      <c r="B139" s="91" t="s">
        <v>159</v>
      </c>
      <c r="C139" s="91" t="s">
        <v>160</v>
      </c>
      <c r="D139" s="91" t="s">
        <v>16</v>
      </c>
      <c r="E139" s="92" t="s">
        <v>298</v>
      </c>
      <c r="F139" s="92" t="s">
        <v>298</v>
      </c>
      <c r="G139" s="92" t="s">
        <v>298</v>
      </c>
      <c r="H139" s="92" t="s">
        <v>298</v>
      </c>
      <c r="I139" s="92" t="s">
        <v>298</v>
      </c>
      <c r="J139" s="92" t="s">
        <v>298</v>
      </c>
      <c r="K139" s="172" t="s">
        <v>298</v>
      </c>
      <c r="L139" s="172"/>
    </row>
    <row r="140" spans="1:13" x14ac:dyDescent="0.25">
      <c r="A140" s="234" t="s">
        <v>590</v>
      </c>
      <c r="B140" s="91" t="s">
        <v>161</v>
      </c>
      <c r="C140" s="91" t="s">
        <v>162</v>
      </c>
      <c r="D140" s="91" t="s">
        <v>21</v>
      </c>
      <c r="E140" s="92">
        <v>231998.39</v>
      </c>
      <c r="F140" s="92">
        <v>177863.42</v>
      </c>
      <c r="G140" s="92">
        <v>190973.59</v>
      </c>
      <c r="H140" s="92">
        <v>189805.59</v>
      </c>
      <c r="I140" s="92">
        <v>188611.35</v>
      </c>
      <c r="J140" s="92">
        <v>223829.51</v>
      </c>
      <c r="K140" s="172">
        <v>256866.18</v>
      </c>
      <c r="L140" s="172"/>
    </row>
    <row r="141" spans="1:13" x14ac:dyDescent="0.25">
      <c r="A141" s="234" t="s">
        <v>590</v>
      </c>
      <c r="B141" s="91" t="s">
        <v>163</v>
      </c>
      <c r="C141" s="91" t="s">
        <v>164</v>
      </c>
      <c r="D141" s="91" t="s">
        <v>16</v>
      </c>
      <c r="E141" s="92" t="s">
        <v>298</v>
      </c>
      <c r="F141" s="92" t="s">
        <v>298</v>
      </c>
      <c r="G141" s="92" t="s">
        <v>298</v>
      </c>
      <c r="H141" s="92" t="s">
        <v>298</v>
      </c>
      <c r="I141" s="92" t="s">
        <v>298</v>
      </c>
      <c r="J141" s="92" t="s">
        <v>298</v>
      </c>
      <c r="K141" s="172" t="s">
        <v>298</v>
      </c>
      <c r="L141" s="172"/>
    </row>
    <row r="142" spans="1:13" x14ac:dyDescent="0.25">
      <c r="A142" s="234" t="s">
        <v>590</v>
      </c>
      <c r="B142" s="91" t="s">
        <v>165</v>
      </c>
      <c r="C142" s="91" t="s">
        <v>166</v>
      </c>
      <c r="D142" s="91" t="s">
        <v>16</v>
      </c>
      <c r="E142" s="92" t="s">
        <v>298</v>
      </c>
      <c r="F142" s="92" t="s">
        <v>298</v>
      </c>
      <c r="G142" s="92" t="s">
        <v>298</v>
      </c>
      <c r="H142" s="92" t="s">
        <v>298</v>
      </c>
      <c r="I142" s="92" t="s">
        <v>298</v>
      </c>
      <c r="J142" s="92" t="s">
        <v>298</v>
      </c>
      <c r="K142" s="172" t="s">
        <v>298</v>
      </c>
      <c r="L142" s="172"/>
    </row>
    <row r="143" spans="1:13" x14ac:dyDescent="0.25">
      <c r="A143" s="234" t="s">
        <v>612</v>
      </c>
      <c r="B143" s="89" t="s">
        <v>70</v>
      </c>
      <c r="C143" s="89" t="s">
        <v>602</v>
      </c>
      <c r="D143" s="89" t="s">
        <v>21</v>
      </c>
      <c r="E143" s="90">
        <v>559227.30000000005</v>
      </c>
      <c r="F143" s="90">
        <v>206966.08</v>
      </c>
      <c r="G143" s="90">
        <v>367496.61</v>
      </c>
      <c r="H143" s="90">
        <v>200541.15</v>
      </c>
      <c r="I143" s="90">
        <v>282602.59000000003</v>
      </c>
      <c r="J143" s="90">
        <v>243496.37</v>
      </c>
      <c r="K143" s="172">
        <v>643406.23</v>
      </c>
      <c r="L143" s="172" t="s">
        <v>626</v>
      </c>
      <c r="M143" s="1">
        <f>SUM(K143:K144)</f>
        <v>4839519.3499999996</v>
      </c>
    </row>
    <row r="144" spans="1:13" x14ac:dyDescent="0.25">
      <c r="A144" s="234" t="s">
        <v>612</v>
      </c>
      <c r="B144" s="91" t="s">
        <v>126</v>
      </c>
      <c r="C144" s="91" t="s">
        <v>603</v>
      </c>
      <c r="D144" s="91" t="s">
        <v>21</v>
      </c>
      <c r="E144" s="92">
        <v>2705710.28</v>
      </c>
      <c r="F144" s="92">
        <v>2662298.1800000002</v>
      </c>
      <c r="G144" s="92">
        <v>3755312.74</v>
      </c>
      <c r="H144" s="92">
        <v>2466966.8199999998</v>
      </c>
      <c r="I144" s="92">
        <v>4260169.21</v>
      </c>
      <c r="J144" s="92">
        <v>2613662.9</v>
      </c>
      <c r="K144" s="172">
        <v>4196113.12</v>
      </c>
      <c r="L144" s="172"/>
    </row>
    <row r="145" spans="11:11" x14ac:dyDescent="0.25">
      <c r="K145" s="235">
        <f>SUM(K4:K144)</f>
        <v>37385484.899999999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opLeftCell="D1" zoomScaleNormal="100" workbookViewId="0">
      <selection activeCell="R5" sqref="R5"/>
    </sheetView>
  </sheetViews>
  <sheetFormatPr defaultRowHeight="15" x14ac:dyDescent="0.25"/>
  <cols>
    <col min="1" max="1" width="8.140625" bestFit="1" customWidth="1"/>
    <col min="2" max="2" width="38.28515625" bestFit="1" customWidth="1"/>
    <col min="3" max="3" width="26.5703125" bestFit="1" customWidth="1"/>
    <col min="4" max="4" width="8.85546875" bestFit="1" customWidth="1"/>
    <col min="5" max="5" width="9.140625" bestFit="1" customWidth="1"/>
    <col min="6" max="6" width="9.28515625" bestFit="1" customWidth="1"/>
    <col min="7" max="7" width="8.5703125" bestFit="1" customWidth="1"/>
    <col min="8" max="8" width="8.7109375" bestFit="1" customWidth="1"/>
    <col min="9" max="9" width="8.5703125" bestFit="1" customWidth="1"/>
    <col min="10" max="10" width="8.28515625" bestFit="1" customWidth="1"/>
    <col min="11" max="11" width="8.85546875" bestFit="1" customWidth="1"/>
    <col min="12" max="12" width="8.5703125" bestFit="1" customWidth="1"/>
    <col min="13" max="13" width="8" bestFit="1" customWidth="1"/>
    <col min="14" max="15" width="8.85546875" bestFit="1" customWidth="1"/>
    <col min="16" max="16" width="9.28515625" bestFit="1" customWidth="1"/>
    <col min="17" max="17" width="16.42578125" bestFit="1" customWidth="1"/>
    <col min="18" max="18" width="18.5703125" bestFit="1" customWidth="1"/>
    <col min="19" max="19" width="23.28515625" bestFit="1" customWidth="1"/>
  </cols>
  <sheetData>
    <row r="1" spans="1:19" ht="24" customHeight="1" thickBot="1" x14ac:dyDescent="0.3">
      <c r="A1" s="101" t="s">
        <v>611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2"/>
    </row>
    <row r="2" spans="1:19" ht="15.75" thickBot="1" x14ac:dyDescent="0.3">
      <c r="A2" s="46" t="s">
        <v>299</v>
      </c>
      <c r="B2" s="47" t="s">
        <v>300</v>
      </c>
      <c r="C2" s="48" t="s">
        <v>301</v>
      </c>
      <c r="D2" s="65">
        <v>40827</v>
      </c>
      <c r="E2" s="65">
        <v>40848</v>
      </c>
      <c r="F2" s="66">
        <v>40878</v>
      </c>
      <c r="G2" s="66">
        <v>40909</v>
      </c>
      <c r="H2" s="66">
        <v>40940</v>
      </c>
      <c r="I2" s="66">
        <v>40969</v>
      </c>
      <c r="J2" s="66">
        <v>41000</v>
      </c>
      <c r="K2" s="66">
        <v>41030</v>
      </c>
      <c r="L2" s="66">
        <v>41061</v>
      </c>
      <c r="M2" s="66">
        <v>41091</v>
      </c>
      <c r="N2" s="66">
        <v>41122</v>
      </c>
      <c r="O2" s="66">
        <v>41153</v>
      </c>
      <c r="P2" s="66" t="s">
        <v>109</v>
      </c>
      <c r="Q2" s="66" t="s">
        <v>636</v>
      </c>
      <c r="R2" s="66" t="s">
        <v>614</v>
      </c>
      <c r="S2" s="66" t="s">
        <v>615</v>
      </c>
    </row>
    <row r="3" spans="1:19" ht="15.75" thickBot="1" x14ac:dyDescent="0.3">
      <c r="A3" s="43"/>
      <c r="B3" s="43"/>
      <c r="C3" s="49" t="s">
        <v>547</v>
      </c>
      <c r="D3" s="68">
        <f>AVERAGE(D5,D4,D18,D22,D34)</f>
        <v>0.88965656565656581</v>
      </c>
      <c r="E3" s="68">
        <f t="shared" ref="E3:O3" si="0">AVERAGE(E5,E4,E18,E22,E34)</f>
        <v>0.90024242424242418</v>
      </c>
      <c r="F3" s="68">
        <f t="shared" si="0"/>
        <v>0.89322846678567436</v>
      </c>
      <c r="G3" s="68">
        <f t="shared" si="0"/>
        <v>0.88402271165080748</v>
      </c>
      <c r="H3" s="68">
        <f t="shared" si="0"/>
        <v>0.89139102341350074</v>
      </c>
      <c r="I3" s="68">
        <f t="shared" si="0"/>
        <v>0.88221298494778233</v>
      </c>
      <c r="J3" s="68">
        <f t="shared" si="0"/>
        <v>0.88396819597782805</v>
      </c>
      <c r="K3" s="68">
        <f t="shared" si="0"/>
        <v>0.89185858523163686</v>
      </c>
      <c r="L3" s="68">
        <f t="shared" si="0"/>
        <v>0.85517238165069176</v>
      </c>
      <c r="M3" s="68">
        <f t="shared" si="0"/>
        <v>0.78645966446865345</v>
      </c>
      <c r="N3" s="68">
        <f t="shared" si="0"/>
        <v>0.75524284588299617</v>
      </c>
      <c r="O3" s="68">
        <f t="shared" si="0"/>
        <v>0.7373871194862982</v>
      </c>
      <c r="P3" s="69">
        <f t="shared" ref="P3:P43" si="1">AVERAGE(D3:O3)</f>
        <v>0.85423691411623837</v>
      </c>
      <c r="Q3" s="44">
        <f>IF(P3&lt;0.8,0.8/P3,0)</f>
        <v>0</v>
      </c>
      <c r="R3" s="43"/>
      <c r="S3" s="43"/>
    </row>
    <row r="4" spans="1:19" ht="16.5" thickTop="1" thickBot="1" x14ac:dyDescent="0.3">
      <c r="A4" s="43"/>
      <c r="B4" s="43"/>
      <c r="C4" s="50" t="s">
        <v>546</v>
      </c>
      <c r="D4" s="70">
        <f>AVERAGE(D5:D7)</f>
        <v>0.8566666666666668</v>
      </c>
      <c r="E4" s="70">
        <f t="shared" ref="E4:O4" si="2">AVERAGE(E5:E7)</f>
        <v>0.93666666666666665</v>
      </c>
      <c r="F4" s="70">
        <f t="shared" si="2"/>
        <v>0.9044444444444445</v>
      </c>
      <c r="G4" s="70">
        <f t="shared" si="2"/>
        <v>0.87926920208799386</v>
      </c>
      <c r="H4" s="70">
        <f t="shared" si="2"/>
        <v>0.90622637515497895</v>
      </c>
      <c r="I4" s="70">
        <f t="shared" si="2"/>
        <v>0.87333333333333341</v>
      </c>
      <c r="J4" s="70">
        <f t="shared" si="2"/>
        <v>0.94222222222222218</v>
      </c>
      <c r="K4" s="70">
        <f t="shared" si="2"/>
        <v>0.94977777777777783</v>
      </c>
      <c r="L4" s="70">
        <f t="shared" si="2"/>
        <v>0.84786549707602343</v>
      </c>
      <c r="M4" s="70">
        <f t="shared" si="2"/>
        <v>0.82020467836257305</v>
      </c>
      <c r="N4" s="70">
        <f t="shared" si="2"/>
        <v>0.72213492978187566</v>
      </c>
      <c r="O4" s="70">
        <f t="shared" si="2"/>
        <v>0.7300990731863215</v>
      </c>
      <c r="P4" s="70">
        <f t="shared" si="1"/>
        <v>0.86407590556340652</v>
      </c>
      <c r="Q4" s="44">
        <f t="shared" ref="Q4:Q43" si="3">IF(P4&lt;0.8,0.8/P4,0)</f>
        <v>0</v>
      </c>
      <c r="R4" s="43"/>
      <c r="S4" s="43"/>
    </row>
    <row r="5" spans="1:19" ht="16.5" thickTop="1" thickBot="1" x14ac:dyDescent="0.3">
      <c r="A5" s="51" t="s">
        <v>99</v>
      </c>
      <c r="B5" s="52" t="s">
        <v>545</v>
      </c>
      <c r="C5" s="53" t="s">
        <v>544</v>
      </c>
      <c r="D5" s="127">
        <v>1</v>
      </c>
      <c r="E5" s="128">
        <v>1</v>
      </c>
      <c r="F5" s="131">
        <v>1</v>
      </c>
      <c r="G5" s="129">
        <v>0.96666666666666667</v>
      </c>
      <c r="H5" s="129">
        <v>1</v>
      </c>
      <c r="I5" s="129">
        <v>0.96666666666666667</v>
      </c>
      <c r="J5" s="129">
        <v>1</v>
      </c>
      <c r="K5" s="129">
        <v>0.93333333333333335</v>
      </c>
      <c r="L5" s="129">
        <v>0.83333333333333337</v>
      </c>
      <c r="M5" s="129">
        <v>0.56666666666666665</v>
      </c>
      <c r="N5" s="129">
        <v>0.45394736842105265</v>
      </c>
      <c r="O5" s="129">
        <v>0.36</v>
      </c>
      <c r="P5" s="69">
        <f t="shared" si="1"/>
        <v>0.8400511695906433</v>
      </c>
      <c r="Q5" s="44">
        <f t="shared" si="3"/>
        <v>0</v>
      </c>
      <c r="R5" s="45">
        <f>VLOOKUP(A5,'OP Collections'!B$3:K$144,10,FALSE)</f>
        <v>555051.37</v>
      </c>
      <c r="S5" s="102">
        <f>IF(Q5&gt;0,R5*Q5,R5)</f>
        <v>555051.37</v>
      </c>
    </row>
    <row r="6" spans="1:19" ht="16.5" thickTop="1" thickBot="1" x14ac:dyDescent="0.3">
      <c r="A6" s="51" t="s">
        <v>101</v>
      </c>
      <c r="B6" s="54" t="s">
        <v>543</v>
      </c>
      <c r="C6" s="55" t="s">
        <v>542</v>
      </c>
      <c r="D6" s="125">
        <v>0.91</v>
      </c>
      <c r="E6" s="126">
        <v>0.91</v>
      </c>
      <c r="F6" s="132">
        <v>0.80666666666666664</v>
      </c>
      <c r="G6" s="125">
        <v>0.80536912751677847</v>
      </c>
      <c r="H6" s="125">
        <v>0.81456953642384111</v>
      </c>
      <c r="I6" s="125">
        <v>0.85333333333333339</v>
      </c>
      <c r="J6" s="125">
        <v>0.96666666666666667</v>
      </c>
      <c r="K6" s="125">
        <v>0.98</v>
      </c>
      <c r="L6" s="125">
        <v>0.98</v>
      </c>
      <c r="M6" s="125">
        <v>0.95394736842105265</v>
      </c>
      <c r="N6" s="125">
        <v>0.95333333333333337</v>
      </c>
      <c r="O6" s="125">
        <v>0.97315436241610742</v>
      </c>
      <c r="P6" s="69">
        <f t="shared" si="1"/>
        <v>0.90892003289814838</v>
      </c>
      <c r="Q6" s="44">
        <f t="shared" si="3"/>
        <v>0</v>
      </c>
      <c r="R6" s="45">
        <f>VLOOKUP(A6,'OP Collections'!B$3:K$144,10,FALSE)</f>
        <v>2243329.69</v>
      </c>
      <c r="S6" s="45">
        <f>IF(Q6&gt;0,R6*Q6,R6)</f>
        <v>2243329.69</v>
      </c>
    </row>
    <row r="7" spans="1:19" ht="15.75" thickBot="1" x14ac:dyDescent="0.3">
      <c r="A7" s="51" t="s">
        <v>103</v>
      </c>
      <c r="B7" s="52" t="s">
        <v>541</v>
      </c>
      <c r="C7" s="56" t="s">
        <v>540</v>
      </c>
      <c r="D7" s="123">
        <v>0.66</v>
      </c>
      <c r="E7" s="124">
        <v>0.9</v>
      </c>
      <c r="F7" s="132">
        <v>0.90666666666666662</v>
      </c>
      <c r="G7" s="125">
        <v>0.86577181208053688</v>
      </c>
      <c r="H7" s="125">
        <v>0.90410958904109584</v>
      </c>
      <c r="I7" s="125">
        <v>0.8</v>
      </c>
      <c r="J7" s="125">
        <v>0.86</v>
      </c>
      <c r="K7" s="125">
        <v>0.93600000000000005</v>
      </c>
      <c r="L7" s="125">
        <v>0.73026315789473684</v>
      </c>
      <c r="M7" s="125">
        <v>0.94</v>
      </c>
      <c r="N7" s="125">
        <v>0.75912408759124084</v>
      </c>
      <c r="O7" s="125">
        <v>0.8571428571428571</v>
      </c>
      <c r="P7" s="69">
        <f t="shared" si="1"/>
        <v>0.84325651420142789</v>
      </c>
      <c r="Q7" s="44">
        <f t="shared" si="3"/>
        <v>0</v>
      </c>
      <c r="R7" s="45">
        <f>VLOOKUP(A7,'OP Collections'!B$3:K$144,10,FALSE)</f>
        <v>202738.15</v>
      </c>
      <c r="S7" s="45">
        <f>IF(Q7&gt;0,R7*Q7,R7)</f>
        <v>202738.15</v>
      </c>
    </row>
    <row r="8" spans="1:19" ht="16.5" thickTop="1" thickBot="1" x14ac:dyDescent="0.3">
      <c r="A8" s="51"/>
      <c r="B8" s="52"/>
      <c r="C8" s="50" t="s">
        <v>539</v>
      </c>
      <c r="D8" s="70">
        <f>AVERAGE(D10:D15,D17)</f>
        <v>0.8957142857142858</v>
      </c>
      <c r="E8" s="70">
        <f t="shared" ref="E8:O8" si="4">AVERAGE(E10:E15,E17)</f>
        <v>0.88571428571428557</v>
      </c>
      <c r="F8" s="70">
        <f t="shared" si="4"/>
        <v>0.8838755010932946</v>
      </c>
      <c r="G8" s="70">
        <f t="shared" si="4"/>
        <v>0.87611836080586081</v>
      </c>
      <c r="H8" s="70">
        <f t="shared" si="4"/>
        <v>0.8684580319894335</v>
      </c>
      <c r="I8" s="70">
        <f t="shared" si="4"/>
        <v>0.88699792960662527</v>
      </c>
      <c r="J8" s="70">
        <f t="shared" si="4"/>
        <v>0.88358234589315288</v>
      </c>
      <c r="K8" s="70">
        <f t="shared" si="4"/>
        <v>0.88549586403476355</v>
      </c>
      <c r="L8" s="70">
        <f t="shared" si="4"/>
        <v>0.90257859749876412</v>
      </c>
      <c r="M8" s="70">
        <f t="shared" si="4"/>
        <v>0.74164427545416145</v>
      </c>
      <c r="N8" s="70">
        <f t="shared" si="4"/>
        <v>0.87730319184050687</v>
      </c>
      <c r="O8" s="70">
        <f t="shared" si="4"/>
        <v>0.88799038881607684</v>
      </c>
      <c r="P8" s="70">
        <f t="shared" si="1"/>
        <v>0.87295608820510096</v>
      </c>
      <c r="Q8" s="44">
        <f t="shared" si="3"/>
        <v>0</v>
      </c>
      <c r="R8" s="45"/>
      <c r="S8" s="45"/>
    </row>
    <row r="9" spans="1:19" ht="15.75" thickTop="1" x14ac:dyDescent="0.25">
      <c r="A9" s="105" t="s">
        <v>26</v>
      </c>
      <c r="B9" s="106" t="s">
        <v>538</v>
      </c>
      <c r="C9" s="117" t="s">
        <v>537</v>
      </c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44"/>
      <c r="R9" s="235">
        <v>1125608.82</v>
      </c>
      <c r="S9" s="109">
        <v>0</v>
      </c>
    </row>
    <row r="10" spans="1:19" x14ac:dyDescent="0.25">
      <c r="A10" s="51" t="s">
        <v>42</v>
      </c>
      <c r="B10" s="54" t="s">
        <v>536</v>
      </c>
      <c r="C10" s="55" t="s">
        <v>535</v>
      </c>
      <c r="D10" s="125">
        <v>0.97</v>
      </c>
      <c r="E10" s="126">
        <v>0.97</v>
      </c>
      <c r="F10" s="131">
        <v>0.96666666666666667</v>
      </c>
      <c r="G10" s="129">
        <v>0.96666666666666667</v>
      </c>
      <c r="H10" s="129">
        <v>0.96666666666666667</v>
      </c>
      <c r="I10" s="129">
        <v>0.96666666666666667</v>
      </c>
      <c r="J10" s="129">
        <v>0.96666666666666667</v>
      </c>
      <c r="K10" s="129">
        <v>0.96666666666666667</v>
      </c>
      <c r="L10" s="129">
        <v>0.96666666666666667</v>
      </c>
      <c r="M10" s="129">
        <v>0.96666666666666667</v>
      </c>
      <c r="N10" s="129">
        <v>0.96666666666666667</v>
      </c>
      <c r="O10" s="129">
        <v>0.96666666666666667</v>
      </c>
      <c r="P10" s="69">
        <f t="shared" si="1"/>
        <v>0.96722222222222232</v>
      </c>
      <c r="Q10" s="44">
        <f t="shared" si="3"/>
        <v>0</v>
      </c>
      <c r="R10" s="45">
        <f>VLOOKUP(A10,'OP Collections'!B$3:K$144,10,FALSE)</f>
        <v>1016964.59</v>
      </c>
      <c r="S10" s="45">
        <f t="shared" ref="S10:S17" si="5">IF(Q10&gt;0,R10*Q10,R10)</f>
        <v>1016964.59</v>
      </c>
    </row>
    <row r="11" spans="1:19" x14ac:dyDescent="0.25">
      <c r="A11" s="51" t="s">
        <v>46</v>
      </c>
      <c r="B11" s="52" t="s">
        <v>534</v>
      </c>
      <c r="C11" s="57" t="s">
        <v>533</v>
      </c>
      <c r="D11" s="125">
        <v>0.8</v>
      </c>
      <c r="E11" s="126">
        <v>0.88</v>
      </c>
      <c r="F11" s="132">
        <v>0.873046875</v>
      </c>
      <c r="G11" s="125">
        <v>0.85897435897435892</v>
      </c>
      <c r="H11" s="125">
        <v>0.88029465930018413</v>
      </c>
      <c r="I11" s="125">
        <v>0.8623188405797102</v>
      </c>
      <c r="J11" s="125">
        <v>0.8804554079696395</v>
      </c>
      <c r="K11" s="125">
        <v>0.91271347248576851</v>
      </c>
      <c r="L11" s="125">
        <v>0.90485074626865669</v>
      </c>
      <c r="M11" s="125">
        <v>0.92395437262357416</v>
      </c>
      <c r="N11" s="125">
        <v>0.90018484288354894</v>
      </c>
      <c r="O11" s="125">
        <v>0.91926605504587156</v>
      </c>
      <c r="P11" s="69">
        <f t="shared" si="1"/>
        <v>0.88300496926094285</v>
      </c>
      <c r="Q11" s="44">
        <f t="shared" si="3"/>
        <v>0</v>
      </c>
      <c r="R11" s="45">
        <f>VLOOKUP(A11,'OP Collections'!B$3:K$144,10,FALSE)</f>
        <v>4706224.71</v>
      </c>
      <c r="S11" s="45">
        <f t="shared" si="5"/>
        <v>4706224.71</v>
      </c>
    </row>
    <row r="12" spans="1:19" x14ac:dyDescent="0.25">
      <c r="A12" s="51" t="s">
        <v>52</v>
      </c>
      <c r="B12" s="52" t="s">
        <v>532</v>
      </c>
      <c r="C12" s="57" t="s">
        <v>531</v>
      </c>
      <c r="D12" s="125">
        <v>0.86</v>
      </c>
      <c r="E12" s="126">
        <v>0.87</v>
      </c>
      <c r="F12" s="132">
        <v>0.84693877551020413</v>
      </c>
      <c r="G12" s="125">
        <v>0.84</v>
      </c>
      <c r="H12" s="125">
        <v>0.89795918367346939</v>
      </c>
      <c r="I12" s="125">
        <v>0.91</v>
      </c>
      <c r="J12" s="125">
        <v>0.92929292929292928</v>
      </c>
      <c r="K12" s="125">
        <v>0.90909090909090906</v>
      </c>
      <c r="L12" s="125">
        <v>0.90909090909090906</v>
      </c>
      <c r="M12" s="125">
        <v>0.81</v>
      </c>
      <c r="N12" s="125">
        <v>0.92708333333333337</v>
      </c>
      <c r="O12" s="125">
        <v>0.94</v>
      </c>
      <c r="P12" s="69">
        <f t="shared" si="1"/>
        <v>0.88745466999931288</v>
      </c>
      <c r="Q12" s="44">
        <f t="shared" si="3"/>
        <v>0</v>
      </c>
      <c r="R12" s="45">
        <f>VLOOKUP(A12,'OP Collections'!B$3:K$144,10,FALSE)</f>
        <v>563290.39</v>
      </c>
      <c r="S12" s="45">
        <f t="shared" si="5"/>
        <v>563290.39</v>
      </c>
    </row>
    <row r="13" spans="1:19" x14ac:dyDescent="0.25">
      <c r="A13" s="51" t="s">
        <v>54</v>
      </c>
      <c r="B13" s="52" t="s">
        <v>530</v>
      </c>
      <c r="C13" s="57" t="s">
        <v>529</v>
      </c>
      <c r="D13" s="125">
        <v>0.69</v>
      </c>
      <c r="E13" s="126">
        <v>0.57999999999999996</v>
      </c>
      <c r="F13" s="132">
        <v>0.69047619047619047</v>
      </c>
      <c r="G13" s="125">
        <v>0.6171875</v>
      </c>
      <c r="H13" s="125">
        <v>0.66428571428571426</v>
      </c>
      <c r="I13" s="125">
        <v>0.77</v>
      </c>
      <c r="J13" s="125">
        <v>0.70866141732283461</v>
      </c>
      <c r="K13" s="125">
        <v>0.66</v>
      </c>
      <c r="L13" s="125">
        <v>0.76744186046511631</v>
      </c>
      <c r="M13" s="125">
        <v>0.67200000000000004</v>
      </c>
      <c r="N13" s="125">
        <v>0.6171875</v>
      </c>
      <c r="O13" s="125">
        <v>0.6</v>
      </c>
      <c r="P13" s="69">
        <f t="shared" si="1"/>
        <v>0.66977001521248791</v>
      </c>
      <c r="Q13" s="44">
        <f t="shared" si="3"/>
        <v>1.1944398552183559</v>
      </c>
      <c r="R13" s="45">
        <f>VLOOKUP(A13,'OP Collections'!B$3:K$144,10,FALSE)</f>
        <v>2243145.56</v>
      </c>
      <c r="S13" s="45">
        <f t="shared" si="5"/>
        <v>2679302.4579200982</v>
      </c>
    </row>
    <row r="14" spans="1:19" x14ac:dyDescent="0.25">
      <c r="A14" s="51" t="s">
        <v>66</v>
      </c>
      <c r="B14" s="52" t="s">
        <v>528</v>
      </c>
      <c r="C14" s="57" t="s">
        <v>527</v>
      </c>
      <c r="D14" s="125">
        <v>1</v>
      </c>
      <c r="E14" s="126">
        <v>0.95</v>
      </c>
      <c r="F14" s="132">
        <v>0.9</v>
      </c>
      <c r="G14" s="125">
        <v>0.92</v>
      </c>
      <c r="H14" s="125">
        <v>0.93</v>
      </c>
      <c r="I14" s="125">
        <v>0.9</v>
      </c>
      <c r="J14" s="125">
        <v>0.9</v>
      </c>
      <c r="K14" s="125">
        <v>0.92</v>
      </c>
      <c r="L14" s="125">
        <v>0.94</v>
      </c>
      <c r="M14" s="125">
        <v>0.93</v>
      </c>
      <c r="N14" s="125">
        <v>0.95</v>
      </c>
      <c r="O14" s="125">
        <v>0.95</v>
      </c>
      <c r="P14" s="69">
        <f t="shared" si="1"/>
        <v>0.9325</v>
      </c>
      <c r="Q14" s="44">
        <f t="shared" si="3"/>
        <v>0</v>
      </c>
      <c r="R14" s="45">
        <f>VLOOKUP(A14,'OP Collections'!B$3:K$144,10,FALSE)</f>
        <v>824429.1</v>
      </c>
      <c r="S14" s="45">
        <f t="shared" si="5"/>
        <v>824429.1</v>
      </c>
    </row>
    <row r="15" spans="1:19" x14ac:dyDescent="0.25">
      <c r="A15" s="51" t="s">
        <v>68</v>
      </c>
      <c r="B15" s="52" t="s">
        <v>526</v>
      </c>
      <c r="C15" s="57" t="s">
        <v>525</v>
      </c>
      <c r="D15" s="125">
        <v>0.96</v>
      </c>
      <c r="E15" s="126">
        <v>0.97</v>
      </c>
      <c r="F15" s="132">
        <v>0.96</v>
      </c>
      <c r="G15" s="125">
        <v>0.95</v>
      </c>
      <c r="H15" s="125">
        <v>0.76</v>
      </c>
      <c r="I15" s="125">
        <v>0.85</v>
      </c>
      <c r="J15" s="125">
        <v>0.82</v>
      </c>
      <c r="K15" s="125">
        <v>0.85</v>
      </c>
      <c r="L15" s="125">
        <v>0.87</v>
      </c>
      <c r="M15" s="125">
        <v>0</v>
      </c>
      <c r="N15" s="125">
        <v>0.8</v>
      </c>
      <c r="O15" s="125">
        <v>0.85</v>
      </c>
      <c r="P15" s="69">
        <f t="shared" si="1"/>
        <v>0.80333333333333323</v>
      </c>
      <c r="Q15" s="44">
        <f t="shared" si="3"/>
        <v>0</v>
      </c>
      <c r="R15" s="45">
        <f>VLOOKUP(A15,'OP Collections'!B$3:K$144,10,FALSE)</f>
        <v>1046966.67</v>
      </c>
      <c r="S15" s="102">
        <f t="shared" si="5"/>
        <v>1046966.67</v>
      </c>
    </row>
    <row r="16" spans="1:19" s="103" customFormat="1" x14ac:dyDescent="0.25">
      <c r="A16" s="105" t="s">
        <v>70</v>
      </c>
      <c r="B16" s="106" t="s">
        <v>524</v>
      </c>
      <c r="C16" s="107" t="s">
        <v>523</v>
      </c>
      <c r="D16" s="134"/>
      <c r="E16" s="135"/>
      <c r="F16" s="136"/>
      <c r="G16" s="134"/>
      <c r="H16" s="134"/>
      <c r="I16" s="134"/>
      <c r="J16" s="134"/>
      <c r="K16" s="134"/>
      <c r="L16" s="134"/>
      <c r="M16" s="134"/>
      <c r="N16" s="134"/>
      <c r="O16" s="134"/>
      <c r="P16" s="108"/>
      <c r="Q16" s="44"/>
      <c r="R16" s="109"/>
      <c r="S16" s="109">
        <v>0</v>
      </c>
    </row>
    <row r="17" spans="1:19" ht="15.75" thickBot="1" x14ac:dyDescent="0.3">
      <c r="A17" s="51" t="s">
        <v>85</v>
      </c>
      <c r="B17" s="52" t="s">
        <v>522</v>
      </c>
      <c r="C17" s="57" t="s">
        <v>521</v>
      </c>
      <c r="D17" s="127">
        <v>0.99</v>
      </c>
      <c r="E17" s="128">
        <v>0.98</v>
      </c>
      <c r="F17" s="132">
        <v>0.95</v>
      </c>
      <c r="G17" s="125">
        <v>0.98</v>
      </c>
      <c r="H17" s="125">
        <v>0.98</v>
      </c>
      <c r="I17" s="125">
        <v>0.95</v>
      </c>
      <c r="J17" s="125">
        <v>0.98</v>
      </c>
      <c r="K17" s="125">
        <v>0.98</v>
      </c>
      <c r="L17" s="125">
        <v>0.96</v>
      </c>
      <c r="M17" s="125">
        <v>0.88888888888888884</v>
      </c>
      <c r="N17" s="125">
        <v>0.98</v>
      </c>
      <c r="O17" s="125">
        <v>0.99</v>
      </c>
      <c r="P17" s="69">
        <f t="shared" si="1"/>
        <v>0.96740740740740749</v>
      </c>
      <c r="Q17" s="44">
        <f t="shared" si="3"/>
        <v>0</v>
      </c>
      <c r="R17" s="45">
        <f>VLOOKUP(A17,'OP Collections'!B$3:K$144,10,FALSE)</f>
        <v>178231.14</v>
      </c>
      <c r="S17" s="45">
        <f t="shared" si="5"/>
        <v>178231.14</v>
      </c>
    </row>
    <row r="18" spans="1:19" ht="16.5" thickTop="1" thickBot="1" x14ac:dyDescent="0.3">
      <c r="A18" s="51"/>
      <c r="B18" s="52"/>
      <c r="C18" s="50" t="s">
        <v>520</v>
      </c>
      <c r="D18" s="70">
        <f>AVERAGE(D19:D21)</f>
        <v>0.94666666666666666</v>
      </c>
      <c r="E18" s="70">
        <f t="shared" ref="E18:O18" si="6">AVERAGE(E19:E21)</f>
        <v>0.89</v>
      </c>
      <c r="F18" s="70">
        <f t="shared" si="6"/>
        <v>0.94222222222222218</v>
      </c>
      <c r="G18" s="70">
        <f t="shared" si="6"/>
        <v>0.96543209876543212</v>
      </c>
      <c r="H18" s="70">
        <f t="shared" si="6"/>
        <v>0.95264069264069262</v>
      </c>
      <c r="I18" s="70">
        <f t="shared" si="6"/>
        <v>0.95306122448979591</v>
      </c>
      <c r="J18" s="70">
        <f t="shared" si="6"/>
        <v>0.89750566893424033</v>
      </c>
      <c r="K18" s="70">
        <f t="shared" si="6"/>
        <v>1</v>
      </c>
      <c r="L18" s="70">
        <f t="shared" si="6"/>
        <v>0.98888888888888893</v>
      </c>
      <c r="M18" s="70">
        <f t="shared" si="6"/>
        <v>0.96081560283687939</v>
      </c>
      <c r="N18" s="70">
        <f t="shared" si="6"/>
        <v>0.9819444444444444</v>
      </c>
      <c r="O18" s="70">
        <f t="shared" si="6"/>
        <v>0.99224806201550386</v>
      </c>
      <c r="P18" s="70">
        <f t="shared" si="1"/>
        <v>0.95595213099206389</v>
      </c>
      <c r="Q18" s="44">
        <f t="shared" si="3"/>
        <v>0</v>
      </c>
      <c r="R18" s="45"/>
      <c r="S18" s="45"/>
    </row>
    <row r="19" spans="1:19" ht="15.75" thickTop="1" x14ac:dyDescent="0.25">
      <c r="A19" s="51" t="s">
        <v>34</v>
      </c>
      <c r="B19" s="52" t="s">
        <v>519</v>
      </c>
      <c r="C19" s="58" t="s">
        <v>518</v>
      </c>
      <c r="D19" s="129">
        <v>0.9</v>
      </c>
      <c r="E19" s="130">
        <v>0.73</v>
      </c>
      <c r="F19" s="131">
        <v>0.8666666666666667</v>
      </c>
      <c r="G19" s="129">
        <v>0.93333333333333335</v>
      </c>
      <c r="H19" s="129">
        <v>0.91428571428571426</v>
      </c>
      <c r="I19" s="129">
        <v>0.9</v>
      </c>
      <c r="J19" s="129">
        <v>0.73333333333333328</v>
      </c>
      <c r="K19" s="129">
        <v>1</v>
      </c>
      <c r="L19" s="129">
        <v>0.96666666666666667</v>
      </c>
      <c r="M19" s="129">
        <v>0.92500000000000004</v>
      </c>
      <c r="N19" s="129">
        <v>0.96666666666666667</v>
      </c>
      <c r="O19" s="129">
        <v>1</v>
      </c>
      <c r="P19" s="69">
        <f t="shared" si="1"/>
        <v>0.90299603174603182</v>
      </c>
      <c r="Q19" s="44">
        <f t="shared" si="3"/>
        <v>0</v>
      </c>
      <c r="R19" s="45">
        <f>VLOOKUP(A19,'OP Collections'!B$3:K$144,10,FALSE)</f>
        <v>2029622.12</v>
      </c>
      <c r="S19" s="45">
        <f>IF(Q19&gt;0,R19*Q19,R19)</f>
        <v>2029622.12</v>
      </c>
    </row>
    <row r="20" spans="1:19" x14ac:dyDescent="0.25">
      <c r="A20" s="51" t="s">
        <v>105</v>
      </c>
      <c r="B20" s="52" t="s">
        <v>517</v>
      </c>
      <c r="C20" s="59" t="s">
        <v>516</v>
      </c>
      <c r="D20" s="125">
        <v>1</v>
      </c>
      <c r="E20" s="126">
        <v>0.98</v>
      </c>
      <c r="F20" s="132">
        <v>1</v>
      </c>
      <c r="G20" s="125">
        <v>1</v>
      </c>
      <c r="H20" s="125">
        <v>0.98</v>
      </c>
      <c r="I20" s="125">
        <v>0.95918367346938771</v>
      </c>
      <c r="J20" s="125">
        <v>0.95918367346938771</v>
      </c>
      <c r="K20" s="125">
        <v>1</v>
      </c>
      <c r="L20" s="125">
        <v>1</v>
      </c>
      <c r="M20" s="125">
        <v>0.95744680851063835</v>
      </c>
      <c r="N20" s="125">
        <v>0.97916666666666663</v>
      </c>
      <c r="O20" s="125">
        <v>0.97674418604651159</v>
      </c>
      <c r="P20" s="69">
        <f t="shared" si="1"/>
        <v>0.98264375068021603</v>
      </c>
      <c r="Q20" s="44">
        <f t="shared" si="3"/>
        <v>0</v>
      </c>
      <c r="R20" s="45">
        <f>VLOOKUP(A20,'OP Collections'!B$3:K$144,10,FALSE)</f>
        <v>38048.78</v>
      </c>
      <c r="S20" s="45">
        <f>IF(Q20&gt;0,R20*Q20,R20)</f>
        <v>38048.78</v>
      </c>
    </row>
    <row r="21" spans="1:19" ht="15.75" thickBot="1" x14ac:dyDescent="0.3">
      <c r="A21" s="51" t="s">
        <v>107</v>
      </c>
      <c r="B21" s="54" t="s">
        <v>515</v>
      </c>
      <c r="C21" s="59" t="s">
        <v>514</v>
      </c>
      <c r="D21" s="127">
        <v>0.94</v>
      </c>
      <c r="E21" s="128">
        <v>0.96</v>
      </c>
      <c r="F21" s="132">
        <v>0.96</v>
      </c>
      <c r="G21" s="125">
        <v>0.96296296296296291</v>
      </c>
      <c r="H21" s="125">
        <v>0.96363636363636362</v>
      </c>
      <c r="I21" s="125">
        <v>1</v>
      </c>
      <c r="J21" s="125">
        <v>1</v>
      </c>
      <c r="K21" s="125">
        <v>1</v>
      </c>
      <c r="L21" s="125">
        <v>1</v>
      </c>
      <c r="M21" s="125">
        <v>1</v>
      </c>
      <c r="N21" s="125">
        <v>1</v>
      </c>
      <c r="O21" s="125">
        <v>1</v>
      </c>
      <c r="P21" s="69">
        <f t="shared" si="1"/>
        <v>0.9822166105499438</v>
      </c>
      <c r="Q21" s="44">
        <f t="shared" si="3"/>
        <v>0</v>
      </c>
      <c r="R21" s="45">
        <f>VLOOKUP(A21,'OP Collections'!B$3:K$144,10,FALSE)</f>
        <v>395322.46</v>
      </c>
      <c r="S21" s="45">
        <f>IF(Q21&gt;0,R21*Q21,R21)</f>
        <v>395322.46</v>
      </c>
    </row>
    <row r="22" spans="1:19" ht="16.5" thickTop="1" thickBot="1" x14ac:dyDescent="0.3">
      <c r="A22" s="51"/>
      <c r="B22" s="52"/>
      <c r="C22" s="50" t="s">
        <v>513</v>
      </c>
      <c r="D22" s="70">
        <f>AVERAGE(D23:D33)</f>
        <v>0.83272727272727254</v>
      </c>
      <c r="E22" s="70">
        <f t="shared" ref="E22:O22" si="7">AVERAGE(E23:E33)</f>
        <v>0.83454545454545448</v>
      </c>
      <c r="F22" s="70">
        <f t="shared" si="7"/>
        <v>0.81954102673882889</v>
      </c>
      <c r="G22" s="70">
        <f t="shared" si="7"/>
        <v>0.84871685110570594</v>
      </c>
      <c r="H22" s="70">
        <f t="shared" si="7"/>
        <v>0.80851833249623306</v>
      </c>
      <c r="I22" s="70">
        <f t="shared" si="7"/>
        <v>0.8167369548014709</v>
      </c>
      <c r="J22" s="70">
        <f t="shared" si="7"/>
        <v>0.80041109682480382</v>
      </c>
      <c r="K22" s="70">
        <f t="shared" si="7"/>
        <v>0.8105173270296443</v>
      </c>
      <c r="L22" s="70">
        <f t="shared" si="7"/>
        <v>0.8223827583088813</v>
      </c>
      <c r="M22" s="70">
        <f t="shared" si="7"/>
        <v>0.83556922608626105</v>
      </c>
      <c r="N22" s="70">
        <f t="shared" si="7"/>
        <v>0.83359053687654094</v>
      </c>
      <c r="O22" s="70">
        <f t="shared" si="7"/>
        <v>0.85164916830878779</v>
      </c>
      <c r="P22" s="70">
        <f t="shared" si="1"/>
        <v>0.82624216715415699</v>
      </c>
      <c r="Q22" s="44">
        <f t="shared" si="3"/>
        <v>0</v>
      </c>
      <c r="R22" s="45"/>
      <c r="S22" s="45"/>
    </row>
    <row r="23" spans="1:19" ht="15.75" thickTop="1" x14ac:dyDescent="0.25">
      <c r="A23" s="51" t="s">
        <v>10</v>
      </c>
      <c r="B23" s="52" t="s">
        <v>512</v>
      </c>
      <c r="C23" s="58" t="s">
        <v>511</v>
      </c>
      <c r="D23" s="129">
        <v>0.94</v>
      </c>
      <c r="E23" s="130">
        <v>0.94</v>
      </c>
      <c r="F23" s="131">
        <v>0.89795918367346939</v>
      </c>
      <c r="G23" s="129">
        <v>0.97959183673469385</v>
      </c>
      <c r="H23" s="129">
        <v>0.94</v>
      </c>
      <c r="I23" s="129">
        <v>1</v>
      </c>
      <c r="J23" s="129">
        <v>1</v>
      </c>
      <c r="K23" s="129">
        <v>0.92156862745098034</v>
      </c>
      <c r="L23" s="129">
        <v>0.96</v>
      </c>
      <c r="M23" s="129">
        <v>1</v>
      </c>
      <c r="N23" s="129">
        <v>1</v>
      </c>
      <c r="O23" s="129">
        <v>1</v>
      </c>
      <c r="P23" s="69">
        <f t="shared" si="1"/>
        <v>0.96492663732159534</v>
      </c>
      <c r="Q23" s="44">
        <f t="shared" si="3"/>
        <v>0</v>
      </c>
      <c r="R23" s="45">
        <f>VLOOKUP(A23,'OP Collections'!B$3:K$144,10,FALSE)</f>
        <v>2514373.71</v>
      </c>
      <c r="S23" s="102">
        <f t="shared" ref="S23:S33" si="8">IF(Q23&gt;0,R23*Q23,R23)</f>
        <v>2514373.71</v>
      </c>
    </row>
    <row r="24" spans="1:19" x14ac:dyDescent="0.25">
      <c r="A24" s="51" t="s">
        <v>17</v>
      </c>
      <c r="B24" s="52" t="s">
        <v>510</v>
      </c>
      <c r="C24" s="59" t="s">
        <v>509</v>
      </c>
      <c r="D24" s="125">
        <v>0.76</v>
      </c>
      <c r="E24" s="126">
        <v>0.76</v>
      </c>
      <c r="F24" s="132">
        <v>0.82</v>
      </c>
      <c r="G24" s="125">
        <v>0.88</v>
      </c>
      <c r="H24" s="125">
        <v>0.84</v>
      </c>
      <c r="I24" s="125">
        <v>0.8</v>
      </c>
      <c r="J24" s="125">
        <v>0.82</v>
      </c>
      <c r="K24" s="125">
        <v>0.82</v>
      </c>
      <c r="L24" s="125">
        <v>0.84</v>
      </c>
      <c r="M24" s="125">
        <v>0.82</v>
      </c>
      <c r="N24" s="125">
        <v>0.92</v>
      </c>
      <c r="O24" s="125">
        <v>0.8571428571428571</v>
      </c>
      <c r="P24" s="69">
        <f t="shared" si="1"/>
        <v>0.82809523809523811</v>
      </c>
      <c r="Q24" s="44">
        <f t="shared" si="3"/>
        <v>0</v>
      </c>
      <c r="R24" s="45">
        <f>VLOOKUP(A24,'OP Collections'!B$3:K$144,10,FALSE)</f>
        <v>1816980.49</v>
      </c>
      <c r="S24" s="102">
        <f t="shared" si="8"/>
        <v>1816980.49</v>
      </c>
    </row>
    <row r="25" spans="1:19" x14ac:dyDescent="0.25">
      <c r="A25" s="51" t="s">
        <v>28</v>
      </c>
      <c r="B25" s="52" t="s">
        <v>508</v>
      </c>
      <c r="C25" s="59" t="s">
        <v>507</v>
      </c>
      <c r="D25" s="125">
        <v>0.82</v>
      </c>
      <c r="E25" s="126">
        <v>0.8</v>
      </c>
      <c r="F25" s="132">
        <v>0.78500000000000003</v>
      </c>
      <c r="G25" s="125">
        <v>0.82</v>
      </c>
      <c r="H25" s="125">
        <v>0.74</v>
      </c>
      <c r="I25" s="125">
        <v>0.81</v>
      </c>
      <c r="J25" s="125">
        <v>0.83</v>
      </c>
      <c r="K25" s="125">
        <v>0.85</v>
      </c>
      <c r="L25" s="125">
        <v>0.86499999999999999</v>
      </c>
      <c r="M25" s="125">
        <v>0.91</v>
      </c>
      <c r="N25" s="125">
        <v>0.86</v>
      </c>
      <c r="O25" s="125">
        <v>0.82</v>
      </c>
      <c r="P25" s="69">
        <f t="shared" si="1"/>
        <v>0.82583333333333331</v>
      </c>
      <c r="Q25" s="44">
        <f t="shared" si="3"/>
        <v>0</v>
      </c>
      <c r="R25" s="45">
        <f>VLOOKUP(A25,'OP Collections'!B$3:K$144,10,FALSE)</f>
        <v>1632052.25</v>
      </c>
      <c r="S25" s="45">
        <f t="shared" si="8"/>
        <v>1632052.25</v>
      </c>
    </row>
    <row r="26" spans="1:19" x14ac:dyDescent="0.25">
      <c r="A26" s="51" t="s">
        <v>30</v>
      </c>
      <c r="B26" s="52" t="s">
        <v>506</v>
      </c>
      <c r="C26" s="59" t="s">
        <v>505</v>
      </c>
      <c r="D26" s="125">
        <v>0.97</v>
      </c>
      <c r="E26" s="126">
        <v>0.97</v>
      </c>
      <c r="F26" s="132">
        <v>1</v>
      </c>
      <c r="G26" s="125">
        <v>0.96666666666666667</v>
      </c>
      <c r="H26" s="125">
        <v>1</v>
      </c>
      <c r="I26" s="125">
        <v>1</v>
      </c>
      <c r="J26" s="125">
        <v>1</v>
      </c>
      <c r="K26" s="125">
        <v>1</v>
      </c>
      <c r="L26" s="125">
        <v>1</v>
      </c>
      <c r="M26" s="125">
        <v>1</v>
      </c>
      <c r="N26" s="125">
        <v>1</v>
      </c>
      <c r="O26" s="125">
        <v>1</v>
      </c>
      <c r="P26" s="69">
        <f t="shared" si="1"/>
        <v>0.99222222222222223</v>
      </c>
      <c r="Q26" s="44">
        <f t="shared" si="3"/>
        <v>0</v>
      </c>
      <c r="R26" s="45">
        <f>VLOOKUP(A26,'OP Collections'!B$3:K$144,10,FALSE)</f>
        <v>963107.58</v>
      </c>
      <c r="S26" s="45">
        <f t="shared" si="8"/>
        <v>963107.58</v>
      </c>
    </row>
    <row r="27" spans="1:19" x14ac:dyDescent="0.25">
      <c r="A27" s="51" t="s">
        <v>32</v>
      </c>
      <c r="B27" s="52" t="s">
        <v>504</v>
      </c>
      <c r="C27" s="59" t="s">
        <v>503</v>
      </c>
      <c r="D27" s="125">
        <v>0.72</v>
      </c>
      <c r="E27" s="126">
        <v>0.87</v>
      </c>
      <c r="F27" s="132">
        <v>0.66666666666666663</v>
      </c>
      <c r="G27" s="125">
        <v>0.87096774193548387</v>
      </c>
      <c r="H27" s="125">
        <v>0.76666666666666672</v>
      </c>
      <c r="I27" s="125">
        <v>0.83870967741935487</v>
      </c>
      <c r="J27" s="125">
        <v>0.6333333333333333</v>
      </c>
      <c r="K27" s="125">
        <v>0.76666666666666672</v>
      </c>
      <c r="L27" s="125">
        <v>0.56666666666666665</v>
      </c>
      <c r="M27" s="125">
        <v>0.76666666666666672</v>
      </c>
      <c r="N27" s="125">
        <v>0.73333333333333328</v>
      </c>
      <c r="O27" s="125">
        <v>0.83333333333333337</v>
      </c>
      <c r="P27" s="69">
        <f t="shared" si="1"/>
        <v>0.75275089605734757</v>
      </c>
      <c r="Q27" s="44">
        <f t="shared" si="3"/>
        <v>1.062768578808909</v>
      </c>
      <c r="R27" s="45">
        <f>VLOOKUP(A27,'OP Collections'!B$3:K$144,10,FALSE)</f>
        <v>1386229.87</v>
      </c>
      <c r="S27" s="45">
        <f t="shared" si="8"/>
        <v>1473241.5488423586</v>
      </c>
    </row>
    <row r="28" spans="1:19" x14ac:dyDescent="0.25">
      <c r="A28" s="51" t="s">
        <v>40</v>
      </c>
      <c r="B28" s="52" t="s">
        <v>502</v>
      </c>
      <c r="C28" s="59" t="s">
        <v>501</v>
      </c>
      <c r="D28" s="125">
        <v>0.54</v>
      </c>
      <c r="E28" s="126">
        <v>0.56000000000000005</v>
      </c>
      <c r="F28" s="133">
        <v>0.54</v>
      </c>
      <c r="G28" s="125">
        <v>0.72</v>
      </c>
      <c r="H28" s="125">
        <v>0.62</v>
      </c>
      <c r="I28" s="125">
        <v>0.62</v>
      </c>
      <c r="J28" s="125">
        <v>0.50943396226415094</v>
      </c>
      <c r="K28" s="125">
        <v>0.65384615384615385</v>
      </c>
      <c r="L28" s="125">
        <v>0.57407407407407407</v>
      </c>
      <c r="M28" s="125">
        <v>0.43396226415094341</v>
      </c>
      <c r="N28" s="125">
        <v>0.59259259259259256</v>
      </c>
      <c r="O28" s="125">
        <v>0.47272727272727272</v>
      </c>
      <c r="P28" s="69">
        <f t="shared" si="1"/>
        <v>0.56971969330459904</v>
      </c>
      <c r="Q28" s="44">
        <f t="shared" si="3"/>
        <v>1.404199309593257</v>
      </c>
      <c r="R28" s="45">
        <f>VLOOKUP(A28,'OP Collections'!B$3:K$144,10,FALSE)</f>
        <v>1168930.25</v>
      </c>
      <c r="S28" s="45">
        <f t="shared" si="8"/>
        <v>1641411.0500126733</v>
      </c>
    </row>
    <row r="29" spans="1:19" x14ac:dyDescent="0.25">
      <c r="A29" s="51" t="s">
        <v>44</v>
      </c>
      <c r="B29" s="52" t="s">
        <v>500</v>
      </c>
      <c r="C29" s="59" t="s">
        <v>499</v>
      </c>
      <c r="D29" s="125">
        <v>0.87</v>
      </c>
      <c r="E29" s="126">
        <v>0.83</v>
      </c>
      <c r="F29" s="131">
        <v>0.9</v>
      </c>
      <c r="G29" s="125">
        <v>0.9</v>
      </c>
      <c r="H29" s="125">
        <v>0.93333333333333335</v>
      </c>
      <c r="I29" s="125">
        <v>0.83333333333333337</v>
      </c>
      <c r="J29" s="125">
        <v>0.8666666666666667</v>
      </c>
      <c r="K29" s="125">
        <v>0.9</v>
      </c>
      <c r="L29" s="125">
        <v>0.93333333333333335</v>
      </c>
      <c r="M29" s="125">
        <v>0.9</v>
      </c>
      <c r="N29" s="125">
        <v>0.9</v>
      </c>
      <c r="O29" s="125">
        <v>0.96666666666666667</v>
      </c>
      <c r="P29" s="69">
        <f t="shared" si="1"/>
        <v>0.89444444444444449</v>
      </c>
      <c r="Q29" s="44">
        <f t="shared" si="3"/>
        <v>0</v>
      </c>
      <c r="R29" s="45">
        <f>VLOOKUP(A29,'OP Collections'!B$3:K$144,10,FALSE)</f>
        <v>381274.8</v>
      </c>
      <c r="S29" s="45">
        <f t="shared" si="8"/>
        <v>381274.8</v>
      </c>
    </row>
    <row r="30" spans="1:19" x14ac:dyDescent="0.25">
      <c r="A30" s="51" t="s">
        <v>56</v>
      </c>
      <c r="B30" s="52" t="s">
        <v>498</v>
      </c>
      <c r="C30" s="60" t="s">
        <v>497</v>
      </c>
      <c r="D30" s="125">
        <v>0.97</v>
      </c>
      <c r="E30" s="126">
        <v>0.97</v>
      </c>
      <c r="F30" s="132">
        <v>0.8</v>
      </c>
      <c r="G30" s="125">
        <v>0.76666666666666672</v>
      </c>
      <c r="H30" s="125">
        <v>0.53333333333333333</v>
      </c>
      <c r="I30" s="125">
        <v>0.7142857142857143</v>
      </c>
      <c r="J30" s="125">
        <v>0.71875</v>
      </c>
      <c r="K30" s="125">
        <v>0.52</v>
      </c>
      <c r="L30" s="125">
        <v>0.81632653061224492</v>
      </c>
      <c r="M30" s="125">
        <v>0.96666666666666667</v>
      </c>
      <c r="N30" s="125">
        <v>0.68</v>
      </c>
      <c r="O30" s="125">
        <v>0.92307692307692313</v>
      </c>
      <c r="P30" s="69">
        <f t="shared" si="1"/>
        <v>0.78159215288679584</v>
      </c>
      <c r="Q30" s="44">
        <f t="shared" si="3"/>
        <v>1.0235517296907539</v>
      </c>
      <c r="R30" s="45">
        <f>VLOOKUP(A30,'OP Collections'!B$3:K$144,10,FALSE)</f>
        <v>722540.39</v>
      </c>
      <c r="S30" s="45">
        <f t="shared" si="8"/>
        <v>739557.46595593193</v>
      </c>
    </row>
    <row r="31" spans="1:19" x14ac:dyDescent="0.25">
      <c r="A31" s="51" t="s">
        <v>58</v>
      </c>
      <c r="B31" s="54" t="s">
        <v>496</v>
      </c>
      <c r="C31" s="60" t="s">
        <v>495</v>
      </c>
      <c r="D31" s="125">
        <v>1</v>
      </c>
      <c r="E31" s="126">
        <v>0.97</v>
      </c>
      <c r="F31" s="132">
        <v>1</v>
      </c>
      <c r="G31" s="125">
        <v>1</v>
      </c>
      <c r="H31" s="125">
        <v>0.96666666666666667</v>
      </c>
      <c r="I31" s="125">
        <v>1</v>
      </c>
      <c r="J31" s="125">
        <v>0.83333333333333337</v>
      </c>
      <c r="K31" s="125">
        <v>1</v>
      </c>
      <c r="L31" s="125">
        <v>1</v>
      </c>
      <c r="M31" s="125">
        <v>0.96666666666666667</v>
      </c>
      <c r="N31" s="125">
        <v>0.96666666666666667</v>
      </c>
      <c r="O31" s="125">
        <v>0.93333333333333335</v>
      </c>
      <c r="P31" s="69">
        <f t="shared" si="1"/>
        <v>0.96972222222222226</v>
      </c>
      <c r="Q31" s="44">
        <f t="shared" si="3"/>
        <v>0</v>
      </c>
      <c r="R31" s="45">
        <f>VLOOKUP(A31,'OP Collections'!B$3:K$144,10,FALSE)</f>
        <v>1170544.79</v>
      </c>
      <c r="S31" s="45">
        <f t="shared" si="8"/>
        <v>1170544.79</v>
      </c>
    </row>
    <row r="32" spans="1:19" x14ac:dyDescent="0.25">
      <c r="A32" s="51" t="s">
        <v>62</v>
      </c>
      <c r="B32" s="52" t="s">
        <v>494</v>
      </c>
      <c r="C32" s="60" t="s">
        <v>493</v>
      </c>
      <c r="D32" s="125">
        <v>0.62</v>
      </c>
      <c r="E32" s="126">
        <v>0.56000000000000005</v>
      </c>
      <c r="F32" s="132">
        <v>0.7</v>
      </c>
      <c r="G32" s="125">
        <v>0.48979591836734693</v>
      </c>
      <c r="H32" s="125">
        <v>0.62</v>
      </c>
      <c r="I32" s="125">
        <v>0.44</v>
      </c>
      <c r="J32" s="125">
        <v>0.6470588235294118</v>
      </c>
      <c r="K32" s="125">
        <v>0.52830188679245282</v>
      </c>
      <c r="L32" s="125">
        <v>0.54545454545454541</v>
      </c>
      <c r="M32" s="125">
        <v>0.46875</v>
      </c>
      <c r="N32" s="125">
        <v>0.56862745098039214</v>
      </c>
      <c r="O32" s="133">
        <v>0.62</v>
      </c>
      <c r="P32" s="69">
        <f t="shared" si="1"/>
        <v>0.56733238542701236</v>
      </c>
      <c r="Q32" s="44">
        <f t="shared" si="3"/>
        <v>1.410108113954867</v>
      </c>
      <c r="R32" s="45">
        <f>VLOOKUP(A32,'OP Collections'!B$3:K$144,10,FALSE)</f>
        <v>3400311.88</v>
      </c>
      <c r="S32" s="45">
        <f t="shared" si="8"/>
        <v>4794807.371965128</v>
      </c>
    </row>
    <row r="33" spans="1:19" ht="15.75" thickBot="1" x14ac:dyDescent="0.3">
      <c r="A33" s="51" t="s">
        <v>64</v>
      </c>
      <c r="B33" s="52" t="s">
        <v>492</v>
      </c>
      <c r="C33" s="60" t="s">
        <v>491</v>
      </c>
      <c r="D33" s="127">
        <v>0.95</v>
      </c>
      <c r="E33" s="128">
        <v>0.95</v>
      </c>
      <c r="F33" s="132">
        <v>0.90532544378698221</v>
      </c>
      <c r="G33" s="125">
        <v>0.94219653179190754</v>
      </c>
      <c r="H33" s="125">
        <v>0.93370165745856348</v>
      </c>
      <c r="I33" s="125">
        <v>0.92777777777777781</v>
      </c>
      <c r="J33" s="125">
        <v>0.94594594594594594</v>
      </c>
      <c r="K33" s="125">
        <v>0.95530726256983245</v>
      </c>
      <c r="L33" s="125">
        <v>0.94535519125683065</v>
      </c>
      <c r="M33" s="125">
        <v>0.95854922279792742</v>
      </c>
      <c r="N33" s="125">
        <v>0.94827586206896552</v>
      </c>
      <c r="O33" s="129">
        <v>0.94186046511627908</v>
      </c>
      <c r="P33" s="69">
        <f t="shared" si="1"/>
        <v>0.9420246133809177</v>
      </c>
      <c r="Q33" s="44">
        <f t="shared" si="3"/>
        <v>0</v>
      </c>
      <c r="R33" s="45">
        <f>VLOOKUP(A33,'OP Collections'!B$3:K$144,10,FALSE)</f>
        <v>805363.51</v>
      </c>
      <c r="S33" s="45">
        <f t="shared" si="8"/>
        <v>805363.51</v>
      </c>
    </row>
    <row r="34" spans="1:19" ht="16.5" thickTop="1" thickBot="1" x14ac:dyDescent="0.3">
      <c r="A34" s="51"/>
      <c r="B34" s="54"/>
      <c r="C34" s="50" t="s">
        <v>490</v>
      </c>
      <c r="D34" s="70">
        <f>AVERAGE(D35:D43)</f>
        <v>0.81222222222222229</v>
      </c>
      <c r="E34" s="70">
        <f t="shared" ref="E34:O34" si="9">AVERAGE(E35:E43)</f>
        <v>0.84000000000000008</v>
      </c>
      <c r="F34" s="70">
        <f t="shared" si="9"/>
        <v>0.79993464052287577</v>
      </c>
      <c r="G34" s="70">
        <f t="shared" si="9"/>
        <v>0.76002873962823903</v>
      </c>
      <c r="H34" s="70">
        <f t="shared" si="9"/>
        <v>0.78956971677559928</v>
      </c>
      <c r="I34" s="70">
        <f t="shared" si="9"/>
        <v>0.80126674544764465</v>
      </c>
      <c r="J34" s="70">
        <f t="shared" si="9"/>
        <v>0.77970199190787426</v>
      </c>
      <c r="K34" s="70">
        <f t="shared" si="9"/>
        <v>0.76566448801742915</v>
      </c>
      <c r="L34" s="70">
        <f t="shared" si="9"/>
        <v>0.78339143064633254</v>
      </c>
      <c r="M34" s="70">
        <f t="shared" si="9"/>
        <v>0.7490421483908879</v>
      </c>
      <c r="N34" s="70">
        <f t="shared" si="9"/>
        <v>0.78459694989106743</v>
      </c>
      <c r="O34" s="70">
        <f t="shared" si="9"/>
        <v>0.75293929392087811</v>
      </c>
      <c r="P34" s="70">
        <f t="shared" si="1"/>
        <v>0.78486319728092091</v>
      </c>
      <c r="Q34" s="44">
        <f t="shared" si="3"/>
        <v>1.0192859122093112</v>
      </c>
      <c r="R34" s="45"/>
      <c r="S34" s="45"/>
    </row>
    <row r="35" spans="1:19" ht="15.75" thickTop="1" x14ac:dyDescent="0.25">
      <c r="A35" s="51" t="s">
        <v>19</v>
      </c>
      <c r="B35" s="52" t="s">
        <v>489</v>
      </c>
      <c r="C35" s="58" t="s">
        <v>488</v>
      </c>
      <c r="D35" s="129">
        <v>0.95</v>
      </c>
      <c r="E35" s="130">
        <v>0.95</v>
      </c>
      <c r="F35" s="131">
        <v>0.87</v>
      </c>
      <c r="G35" s="129">
        <v>0.64</v>
      </c>
      <c r="H35" s="129">
        <v>0.875</v>
      </c>
      <c r="I35" s="129">
        <v>0.93851132686084138</v>
      </c>
      <c r="J35" s="129">
        <v>0.95</v>
      </c>
      <c r="K35" s="129">
        <v>0.9</v>
      </c>
      <c r="L35" s="129">
        <v>0.89</v>
      </c>
      <c r="M35" s="129">
        <v>0.89</v>
      </c>
      <c r="N35" s="129">
        <v>0.85</v>
      </c>
      <c r="O35" s="129">
        <v>0.85</v>
      </c>
      <c r="P35" s="69">
        <f t="shared" si="1"/>
        <v>0.87945927723840345</v>
      </c>
      <c r="Q35" s="44">
        <f t="shared" si="3"/>
        <v>0</v>
      </c>
      <c r="R35" s="45">
        <f>VLOOKUP(A35,'OP Collections'!B$3:K$144,10,FALSE)</f>
        <v>1587733.54</v>
      </c>
      <c r="S35" s="45">
        <f t="shared" ref="S35:S43" si="10">IF(Q35&gt;0,R35*Q35,R35)</f>
        <v>1587733.54</v>
      </c>
    </row>
    <row r="36" spans="1:19" x14ac:dyDescent="0.25">
      <c r="A36" s="51" t="s">
        <v>22</v>
      </c>
      <c r="B36" s="52" t="s">
        <v>487</v>
      </c>
      <c r="C36" s="59" t="s">
        <v>486</v>
      </c>
      <c r="D36" s="125">
        <v>0.76</v>
      </c>
      <c r="E36" s="126">
        <v>0.84</v>
      </c>
      <c r="F36" s="132">
        <v>0.7</v>
      </c>
      <c r="G36" s="125">
        <v>0.62</v>
      </c>
      <c r="H36" s="125">
        <v>0.6</v>
      </c>
      <c r="I36" s="125">
        <v>0.72</v>
      </c>
      <c r="J36" s="125">
        <v>0.8</v>
      </c>
      <c r="K36" s="125">
        <v>0.68</v>
      </c>
      <c r="L36" s="125">
        <v>0.78</v>
      </c>
      <c r="M36" s="133">
        <v>0.8</v>
      </c>
      <c r="N36" s="125">
        <v>0.66</v>
      </c>
      <c r="O36" s="125">
        <v>0.56000000000000005</v>
      </c>
      <c r="P36" s="69">
        <f t="shared" si="1"/>
        <v>0.71</v>
      </c>
      <c r="Q36" s="44">
        <f t="shared" si="3"/>
        <v>1.1267605633802817</v>
      </c>
      <c r="R36" s="45">
        <f>VLOOKUP(A36,'OP Collections'!B$3:K$144,10,FALSE)</f>
        <v>374874.94</v>
      </c>
      <c r="S36" s="102">
        <f t="shared" si="10"/>
        <v>422394.29859154933</v>
      </c>
    </row>
    <row r="37" spans="1:19" x14ac:dyDescent="0.25">
      <c r="A37" s="51" t="s">
        <v>24</v>
      </c>
      <c r="B37" s="52" t="s">
        <v>485</v>
      </c>
      <c r="C37" s="59" t="s">
        <v>484</v>
      </c>
      <c r="D37" s="125">
        <v>0.9</v>
      </c>
      <c r="E37" s="126">
        <v>0.98</v>
      </c>
      <c r="F37" s="132">
        <v>0.96</v>
      </c>
      <c r="G37" s="125">
        <v>1</v>
      </c>
      <c r="H37" s="125">
        <v>1</v>
      </c>
      <c r="I37" s="125">
        <v>0.81132075471698117</v>
      </c>
      <c r="J37" s="125">
        <v>0.8928571428571429</v>
      </c>
      <c r="K37" s="125">
        <v>0.94117647058823528</v>
      </c>
      <c r="L37" s="125">
        <v>0.9</v>
      </c>
      <c r="M37" s="129">
        <v>0</v>
      </c>
      <c r="N37" s="125">
        <v>0.90196078431372551</v>
      </c>
      <c r="O37" s="125">
        <v>0.96</v>
      </c>
      <c r="P37" s="69">
        <f t="shared" si="1"/>
        <v>0.85394292937300698</v>
      </c>
      <c r="Q37" s="44">
        <f t="shared" si="3"/>
        <v>0</v>
      </c>
      <c r="R37" s="45">
        <f>VLOOKUP(A37,'OP Collections'!B$3:K$144,10,FALSE)</f>
        <v>975480.95</v>
      </c>
      <c r="S37" s="45">
        <f t="shared" si="10"/>
        <v>975480.95</v>
      </c>
    </row>
    <row r="38" spans="1:19" x14ac:dyDescent="0.25">
      <c r="A38" s="51" t="s">
        <v>36</v>
      </c>
      <c r="B38" s="52" t="s">
        <v>483</v>
      </c>
      <c r="C38" s="59" t="s">
        <v>482</v>
      </c>
      <c r="D38" s="125">
        <v>1</v>
      </c>
      <c r="E38" s="126">
        <v>1</v>
      </c>
      <c r="F38" s="132">
        <v>1</v>
      </c>
      <c r="G38" s="125">
        <v>0.96666666666666667</v>
      </c>
      <c r="H38" s="125">
        <v>1</v>
      </c>
      <c r="I38" s="125">
        <v>1</v>
      </c>
      <c r="J38" s="125">
        <v>1</v>
      </c>
      <c r="K38" s="125">
        <v>1</v>
      </c>
      <c r="L38" s="125">
        <v>1</v>
      </c>
      <c r="M38" s="125">
        <v>1</v>
      </c>
      <c r="N38" s="133">
        <v>1</v>
      </c>
      <c r="O38" s="133">
        <v>0.83333333333333337</v>
      </c>
      <c r="P38" s="69">
        <f t="shared" si="1"/>
        <v>0.98333333333333339</v>
      </c>
      <c r="Q38" s="44">
        <f t="shared" si="3"/>
        <v>0</v>
      </c>
      <c r="R38" s="45">
        <f>VLOOKUP(A38,'OP Collections'!B$3:K$144,10,FALSE)</f>
        <v>695185.3</v>
      </c>
      <c r="S38" s="45">
        <f t="shared" si="10"/>
        <v>695185.3</v>
      </c>
    </row>
    <row r="39" spans="1:19" x14ac:dyDescent="0.25">
      <c r="A39" s="51" t="s">
        <v>38</v>
      </c>
      <c r="B39" s="52" t="s">
        <v>481</v>
      </c>
      <c r="C39" s="59" t="s">
        <v>480</v>
      </c>
      <c r="D39" s="125">
        <v>0.8</v>
      </c>
      <c r="E39" s="126">
        <v>0.62</v>
      </c>
      <c r="F39" s="132">
        <v>0.72</v>
      </c>
      <c r="G39" s="125">
        <v>0.63829787234042556</v>
      </c>
      <c r="H39" s="125">
        <v>0.89583333333333337</v>
      </c>
      <c r="I39" s="125">
        <v>0.74</v>
      </c>
      <c r="J39" s="125">
        <v>0.66</v>
      </c>
      <c r="K39" s="125">
        <v>0.76</v>
      </c>
      <c r="L39" s="133">
        <v>0.71111111111111114</v>
      </c>
      <c r="M39" s="125">
        <v>0.64583333333333337</v>
      </c>
      <c r="N39" s="129">
        <v>0.7</v>
      </c>
      <c r="O39" s="129">
        <v>0.76595744680851063</v>
      </c>
      <c r="P39" s="69">
        <f t="shared" si="1"/>
        <v>0.72141942474389287</v>
      </c>
      <c r="Q39" s="44">
        <f t="shared" si="3"/>
        <v>1.10892495067485</v>
      </c>
      <c r="R39" s="45">
        <f>VLOOKUP(A39,'OP Collections'!B$3:K$144,10,FALSE)</f>
        <v>238790</v>
      </c>
      <c r="S39" s="45">
        <f t="shared" si="10"/>
        <v>264800.18897164741</v>
      </c>
    </row>
    <row r="40" spans="1:19" x14ac:dyDescent="0.25">
      <c r="A40" s="51" t="s">
        <v>48</v>
      </c>
      <c r="B40" s="52" t="s">
        <v>479</v>
      </c>
      <c r="C40" s="59" t="s">
        <v>478</v>
      </c>
      <c r="D40" s="125">
        <v>0.87</v>
      </c>
      <c r="E40" s="126">
        <v>0.87</v>
      </c>
      <c r="F40" s="132">
        <v>0.66666666666666663</v>
      </c>
      <c r="G40" s="125">
        <v>0.73333333333333328</v>
      </c>
      <c r="H40" s="125">
        <v>0.76666666666666672</v>
      </c>
      <c r="I40" s="125">
        <v>0.8</v>
      </c>
      <c r="J40" s="125">
        <v>0.66666666666666663</v>
      </c>
      <c r="K40" s="125">
        <v>0.66666666666666663</v>
      </c>
      <c r="L40" s="129">
        <v>0.76666666666666672</v>
      </c>
      <c r="M40" s="125">
        <v>1</v>
      </c>
      <c r="N40" s="125">
        <v>0.8666666666666667</v>
      </c>
      <c r="O40" s="125">
        <v>0.76666666666666672</v>
      </c>
      <c r="P40" s="69">
        <f t="shared" si="1"/>
        <v>0.78666666666666674</v>
      </c>
      <c r="Q40" s="44">
        <f t="shared" si="3"/>
        <v>1.0169491525423728</v>
      </c>
      <c r="R40" s="45">
        <f>VLOOKUP(A40,'OP Collections'!B$3:K$144,10,FALSE)</f>
        <v>341338.76</v>
      </c>
      <c r="S40" s="45">
        <f t="shared" si="10"/>
        <v>347124.1627118644</v>
      </c>
    </row>
    <row r="41" spans="1:19" x14ac:dyDescent="0.25">
      <c r="A41" s="51" t="s">
        <v>60</v>
      </c>
      <c r="B41" s="52" t="s">
        <v>477</v>
      </c>
      <c r="C41" s="59" t="s">
        <v>476</v>
      </c>
      <c r="D41" s="125">
        <v>0.52</v>
      </c>
      <c r="E41" s="126">
        <v>0.44</v>
      </c>
      <c r="F41" s="132">
        <v>0.42</v>
      </c>
      <c r="G41" s="125">
        <v>0.34</v>
      </c>
      <c r="H41" s="125">
        <v>0.4</v>
      </c>
      <c r="I41" s="125">
        <v>0.6</v>
      </c>
      <c r="J41" s="125">
        <v>0.5</v>
      </c>
      <c r="K41" s="125">
        <v>0.46</v>
      </c>
      <c r="L41" s="125">
        <v>0.48</v>
      </c>
      <c r="M41" s="125">
        <v>0.53061224489795922</v>
      </c>
      <c r="N41" s="133">
        <v>0.6</v>
      </c>
      <c r="O41" s="125">
        <v>0.46666666666666667</v>
      </c>
      <c r="P41" s="69">
        <f t="shared" si="1"/>
        <v>0.47977324263038551</v>
      </c>
      <c r="Q41" s="44">
        <f t="shared" si="3"/>
        <v>1.6674543907741752</v>
      </c>
      <c r="R41" s="45">
        <f>VLOOKUP(A41,'OP Collections'!B$3:K$144,10,FALSE)</f>
        <v>1956589.2</v>
      </c>
      <c r="S41" s="45">
        <f t="shared" si="10"/>
        <v>3262523.2524813307</v>
      </c>
    </row>
    <row r="42" spans="1:19" x14ac:dyDescent="0.25">
      <c r="A42" s="51" t="s">
        <v>71</v>
      </c>
      <c r="B42" s="54" t="s">
        <v>475</v>
      </c>
      <c r="C42" s="61" t="s">
        <v>474</v>
      </c>
      <c r="D42" s="125">
        <v>0.69</v>
      </c>
      <c r="E42" s="126">
        <v>1</v>
      </c>
      <c r="F42" s="132">
        <v>1</v>
      </c>
      <c r="G42" s="125">
        <v>1</v>
      </c>
      <c r="H42" s="125">
        <v>0.66666666666666663</v>
      </c>
      <c r="I42" s="125">
        <v>0.68</v>
      </c>
      <c r="J42" s="125">
        <v>0.64583333333333337</v>
      </c>
      <c r="K42" s="125">
        <v>0.64</v>
      </c>
      <c r="L42" s="125">
        <v>0.66</v>
      </c>
      <c r="M42" s="125">
        <v>0.97297297297297303</v>
      </c>
      <c r="N42" s="129">
        <v>0.62</v>
      </c>
      <c r="O42" s="125">
        <v>0.63265306122448983</v>
      </c>
      <c r="P42" s="69">
        <f t="shared" si="1"/>
        <v>0.76734383618312174</v>
      </c>
      <c r="Q42" s="44">
        <f t="shared" si="3"/>
        <v>1.0425574068325285</v>
      </c>
      <c r="R42" s="45">
        <f>VLOOKUP(A42,'OP Collections'!B$3:K$144,10,FALSE)</f>
        <v>2900746.22</v>
      </c>
      <c r="S42" s="45">
        <f t="shared" si="10"/>
        <v>3024194.4570024596</v>
      </c>
    </row>
    <row r="43" spans="1:19" ht="15.75" thickBot="1" x14ac:dyDescent="0.3">
      <c r="A43" s="62" t="s">
        <v>73</v>
      </c>
      <c r="B43" s="63" t="s">
        <v>473</v>
      </c>
      <c r="C43" s="64" t="s">
        <v>472</v>
      </c>
      <c r="D43" s="127">
        <v>0.82</v>
      </c>
      <c r="E43" s="128">
        <v>0.86</v>
      </c>
      <c r="F43" s="132">
        <v>0.86274509803921573</v>
      </c>
      <c r="G43" s="125">
        <v>0.90196078431372551</v>
      </c>
      <c r="H43" s="125">
        <v>0.90196078431372551</v>
      </c>
      <c r="I43" s="125">
        <v>0.92156862745098034</v>
      </c>
      <c r="J43" s="125">
        <v>0.90196078431372551</v>
      </c>
      <c r="K43" s="125">
        <v>0.84313725490196079</v>
      </c>
      <c r="L43" s="125">
        <v>0.86274509803921573</v>
      </c>
      <c r="M43" s="125">
        <v>0.90196078431372551</v>
      </c>
      <c r="N43" s="125">
        <v>0.86274509803921573</v>
      </c>
      <c r="O43" s="125">
        <v>0.94117647058823528</v>
      </c>
      <c r="P43" s="69">
        <f t="shared" si="1"/>
        <v>0.88183006535947728</v>
      </c>
      <c r="Q43" s="44">
        <f t="shared" si="3"/>
        <v>0</v>
      </c>
      <c r="R43" s="45">
        <f>VLOOKUP(A43,'OP Collections'!B$3:K$144,10,FALSE)</f>
        <v>29479.99</v>
      </c>
      <c r="S43" s="45">
        <f t="shared" si="10"/>
        <v>29479.99</v>
      </c>
    </row>
    <row r="44" spans="1:19" ht="15.75" x14ac:dyDescent="0.25">
      <c r="Q44" s="20" t="s">
        <v>610</v>
      </c>
      <c r="R44" s="1">
        <f>SUM(R5:R43)</f>
        <v>42230901.969999999</v>
      </c>
      <c r="S44" s="1">
        <f>SUM(S5:S43)</f>
        <v>45021152.334455043</v>
      </c>
    </row>
  </sheetData>
  <conditionalFormatting sqref="D5:E5">
    <cfRule type="cellIs" dxfId="20" priority="12" operator="between">
      <formula>1.5</formula>
      <formula>0.945</formula>
    </cfRule>
  </conditionalFormatting>
  <conditionalFormatting sqref="D5:E5">
    <cfRule type="cellIs" dxfId="19" priority="11" operator="between">
      <formula>0.944</formula>
      <formula>0.795</formula>
    </cfRule>
  </conditionalFormatting>
  <conditionalFormatting sqref="D5:E5">
    <cfRule type="cellIs" dxfId="18" priority="10" operator="lessThan">
      <formula>0.795</formula>
    </cfRule>
  </conditionalFormatting>
  <conditionalFormatting sqref="D7:E7">
    <cfRule type="cellIs" dxfId="17" priority="9" operator="between">
      <formula>1.5</formula>
      <formula>0.945</formula>
    </cfRule>
  </conditionalFormatting>
  <conditionalFormatting sqref="D7:E7">
    <cfRule type="cellIs" dxfId="16" priority="8" operator="between">
      <formula>0.944</formula>
      <formula>0.795</formula>
    </cfRule>
  </conditionalFormatting>
  <conditionalFormatting sqref="D7:E7">
    <cfRule type="cellIs" dxfId="15" priority="7" operator="lessThan">
      <formula>0.795</formula>
    </cfRule>
  </conditionalFormatting>
  <conditionalFormatting sqref="D6:E6">
    <cfRule type="cellIs" dxfId="14" priority="6" operator="between">
      <formula>1.5</formula>
      <formula>0.945</formula>
    </cfRule>
  </conditionalFormatting>
  <conditionalFormatting sqref="D6:E6">
    <cfRule type="cellIs" dxfId="13" priority="5" operator="between">
      <formula>0.944</formula>
      <formula>0.795</formula>
    </cfRule>
  </conditionalFormatting>
  <conditionalFormatting sqref="D6:E6">
    <cfRule type="cellIs" dxfId="12" priority="4" operator="lessThan">
      <formula>0.795</formula>
    </cfRule>
  </conditionalFormatting>
  <conditionalFormatting sqref="D10:E17">
    <cfRule type="cellIs" dxfId="11" priority="3" operator="between">
      <formula>1.5</formula>
      <formula>0.945</formula>
    </cfRule>
  </conditionalFormatting>
  <conditionalFormatting sqref="D10:E17">
    <cfRule type="cellIs" dxfId="10" priority="2" operator="between">
      <formula>0.944</formula>
      <formula>0.795</formula>
    </cfRule>
  </conditionalFormatting>
  <conditionalFormatting sqref="D10:E17">
    <cfRule type="cellIs" dxfId="9" priority="1" operator="lessThan">
      <formula>0.795</formula>
    </cfRule>
  </conditionalFormatting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C1" zoomScale="75" zoomScaleNormal="75" workbookViewId="0">
      <selection activeCell="Q31" sqref="Q31"/>
    </sheetView>
  </sheetViews>
  <sheetFormatPr defaultRowHeight="15" x14ac:dyDescent="0.25"/>
  <cols>
    <col min="2" max="2" width="37.85546875" customWidth="1"/>
    <col min="3" max="3" width="43" customWidth="1"/>
    <col min="4" max="4" width="8" style="142" bestFit="1" customWidth="1"/>
    <col min="5" max="5" width="8.140625" style="142" bestFit="1" customWidth="1"/>
    <col min="6" max="7" width="9.28515625" bestFit="1" customWidth="1"/>
    <col min="8" max="8" width="8.28515625" bestFit="1" customWidth="1"/>
    <col min="9" max="13" width="9.28515625" bestFit="1" customWidth="1"/>
    <col min="14" max="14" width="8" bestFit="1" customWidth="1"/>
    <col min="15" max="15" width="9.140625" bestFit="1" customWidth="1"/>
    <col min="16" max="16" width="8.85546875" customWidth="1"/>
    <col min="17" max="17" width="13.85546875" bestFit="1" customWidth="1"/>
    <col min="18" max="18" width="18.5703125" bestFit="1" customWidth="1"/>
    <col min="19" max="19" width="21.7109375" bestFit="1" customWidth="1"/>
  </cols>
  <sheetData>
    <row r="1" spans="1:19" ht="19.5" thickBot="1" x14ac:dyDescent="0.3">
      <c r="A1" s="101" t="s">
        <v>611</v>
      </c>
    </row>
    <row r="2" spans="1:19" ht="16.5" thickBot="1" x14ac:dyDescent="0.3">
      <c r="A2" s="6" t="s">
        <v>299</v>
      </c>
      <c r="B2" s="7" t="s">
        <v>300</v>
      </c>
      <c r="C2" s="24" t="s">
        <v>301</v>
      </c>
      <c r="D2" s="143">
        <v>40817</v>
      </c>
      <c r="E2" s="144">
        <v>40848</v>
      </c>
      <c r="F2" s="81">
        <v>40878</v>
      </c>
      <c r="G2" s="82">
        <v>40909</v>
      </c>
      <c r="H2" s="82">
        <v>40940</v>
      </c>
      <c r="I2" s="82">
        <v>40969</v>
      </c>
      <c r="J2" s="82">
        <v>41000</v>
      </c>
      <c r="K2" s="82">
        <v>41030</v>
      </c>
      <c r="L2" s="82">
        <v>41061</v>
      </c>
      <c r="M2" s="82">
        <v>41091</v>
      </c>
      <c r="N2" s="82">
        <v>41122</v>
      </c>
      <c r="O2" s="82">
        <v>41153</v>
      </c>
      <c r="P2" s="83" t="s">
        <v>109</v>
      </c>
      <c r="Q2" s="84" t="s">
        <v>636</v>
      </c>
      <c r="R2" s="84" t="s">
        <v>614</v>
      </c>
      <c r="S2" s="84" t="s">
        <v>615</v>
      </c>
    </row>
    <row r="3" spans="1:19" ht="16.5" thickTop="1" thickBot="1" x14ac:dyDescent="0.3">
      <c r="C3" s="67" t="s">
        <v>548</v>
      </c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17" t="e">
        <f>AVERAGE(D3:O3)</f>
        <v>#DIV/0!</v>
      </c>
      <c r="Q3" s="3"/>
    </row>
    <row r="4" spans="1:19" ht="16.5" thickTop="1" thickBot="1" x14ac:dyDescent="0.3">
      <c r="C4" s="67" t="s">
        <v>549</v>
      </c>
      <c r="D4" s="71">
        <f>AVERAGE(D6,D8:D14,D16)</f>
        <v>0.83271604938271604</v>
      </c>
      <c r="E4" s="71">
        <f>AVERAGE(E6,E8:E14,E16)</f>
        <v>0.7569800569800571</v>
      </c>
      <c r="F4" s="71">
        <f>AVERAGE(F6,F8:F14,F16)</f>
        <v>0.73661828367710724</v>
      </c>
      <c r="G4" s="71">
        <f>AVERAGE(G6,G8:G14,G16)</f>
        <v>0.74497354497354484</v>
      </c>
      <c r="H4" s="71">
        <f>AVERAGE(H6,H8:H14,H16)</f>
        <v>0.6807109329276817</v>
      </c>
      <c r="I4" s="71">
        <f t="shared" ref="I4:O4" si="0">AVERAGE(I6,I8:I14,I16)</f>
        <v>0.77470028312643324</v>
      </c>
      <c r="J4" s="71">
        <f t="shared" si="0"/>
        <v>0.74759816207184626</v>
      </c>
      <c r="K4" s="71">
        <f t="shared" si="0"/>
        <v>0.75683501839975487</v>
      </c>
      <c r="L4" s="71">
        <f t="shared" si="0"/>
        <v>0.78296055796055786</v>
      </c>
      <c r="M4" s="71">
        <f t="shared" si="0"/>
        <v>0.82166698694543738</v>
      </c>
      <c r="N4" s="71">
        <f t="shared" si="0"/>
        <v>0.81788188892442171</v>
      </c>
      <c r="O4" s="71">
        <f t="shared" si="0"/>
        <v>0.86085670862655705</v>
      </c>
      <c r="P4" s="17">
        <f t="shared" ref="P4:P32" si="1">AVERAGE(D4:O4)</f>
        <v>0.77620820616634301</v>
      </c>
      <c r="Q4" s="3">
        <f t="shared" ref="Q4:Q32" si="2">IF(P4&lt;0.8,0.8/P4,0)</f>
        <v>1.0306513041792789</v>
      </c>
    </row>
    <row r="5" spans="1:19" ht="15.75" thickTop="1" x14ac:dyDescent="0.25">
      <c r="A5" s="23" t="s">
        <v>120</v>
      </c>
      <c r="B5" s="25" t="s">
        <v>550</v>
      </c>
      <c r="C5" s="26" t="s">
        <v>550</v>
      </c>
      <c r="D5" s="140">
        <v>0.8</v>
      </c>
      <c r="E5" s="141">
        <v>0.8</v>
      </c>
      <c r="F5" s="131">
        <v>0.83333333333333337</v>
      </c>
      <c r="G5" s="129">
        <v>0.8</v>
      </c>
      <c r="H5" s="129">
        <v>0.76666666666666672</v>
      </c>
      <c r="I5" s="129">
        <v>0.83333333333333337</v>
      </c>
      <c r="J5" s="129">
        <v>0.8666666666666667</v>
      </c>
      <c r="K5" s="129">
        <v>0.8</v>
      </c>
      <c r="L5" s="129">
        <v>0.8</v>
      </c>
      <c r="M5" s="129">
        <v>0.76666666666666672</v>
      </c>
      <c r="N5" s="129">
        <v>0.76666666666666672</v>
      </c>
      <c r="O5" s="129">
        <v>0.76666666666666672</v>
      </c>
      <c r="P5" s="17">
        <f t="shared" si="1"/>
        <v>0.80000000000000016</v>
      </c>
      <c r="Q5" s="3">
        <f t="shared" si="2"/>
        <v>0</v>
      </c>
      <c r="R5" s="4">
        <f>VLOOKUP(A5,'OP Collections'!B$116:K$144,10,FALSE)</f>
        <v>1698847.45</v>
      </c>
      <c r="S5" s="4">
        <f>IF(Q5&gt;0,R5*Q5,R5)</f>
        <v>1698847.45</v>
      </c>
    </row>
    <row r="6" spans="1:19" x14ac:dyDescent="0.25">
      <c r="A6" s="23" t="s">
        <v>122</v>
      </c>
      <c r="B6" s="25" t="s">
        <v>551</v>
      </c>
      <c r="C6" s="27" t="s">
        <v>551</v>
      </c>
      <c r="D6" s="138">
        <v>0.76666666666666672</v>
      </c>
      <c r="E6" s="137">
        <v>0.7</v>
      </c>
      <c r="F6" s="132">
        <v>0.6</v>
      </c>
      <c r="G6" s="125">
        <v>0.8</v>
      </c>
      <c r="H6" s="125">
        <v>0.56666666666666665</v>
      </c>
      <c r="I6" s="125">
        <v>0.8666666666666667</v>
      </c>
      <c r="J6" s="125">
        <v>1</v>
      </c>
      <c r="K6" s="125">
        <v>0.625</v>
      </c>
      <c r="L6" s="125">
        <v>1</v>
      </c>
      <c r="M6" s="125">
        <v>0.9</v>
      </c>
      <c r="N6" s="125">
        <v>0.96666666666666667</v>
      </c>
      <c r="O6" s="125">
        <v>1</v>
      </c>
      <c r="P6" s="17">
        <f t="shared" si="1"/>
        <v>0.81597222222222232</v>
      </c>
      <c r="Q6" s="3">
        <f t="shared" si="2"/>
        <v>0</v>
      </c>
      <c r="R6" s="4">
        <f>VLOOKUP(A6,'OP Collections'!B$116:K$144,10,FALSE)</f>
        <v>3270391.28</v>
      </c>
      <c r="S6" s="4">
        <f t="shared" ref="S6:S34" si="3">IF(Q6&gt;0,R6*Q6,R6)</f>
        <v>3270391.28</v>
      </c>
    </row>
    <row r="7" spans="1:19" s="36" customFormat="1" x14ac:dyDescent="0.25">
      <c r="A7" s="154" t="s">
        <v>124</v>
      </c>
      <c r="B7" s="155" t="s">
        <v>552</v>
      </c>
      <c r="C7" s="170" t="s">
        <v>552</v>
      </c>
      <c r="D7" s="163"/>
      <c r="E7" s="163"/>
      <c r="F7" s="159"/>
      <c r="G7" s="160"/>
      <c r="H7" s="160"/>
      <c r="I7" s="160"/>
      <c r="J7" s="160"/>
      <c r="K7" s="160"/>
      <c r="L7" s="160"/>
      <c r="M7" s="160"/>
      <c r="N7" s="160"/>
      <c r="O7" s="160"/>
      <c r="P7" s="166" t="e">
        <f t="shared" si="1"/>
        <v>#DIV/0!</v>
      </c>
      <c r="Q7" s="3"/>
      <c r="R7" s="168" t="str">
        <f>VLOOKUP(A7,'OP Collections'!B$116:K$144,10,FALSE)</f>
        <v>NULL</v>
      </c>
      <c r="S7" s="168">
        <v>0</v>
      </c>
    </row>
    <row r="8" spans="1:19" x14ac:dyDescent="0.25">
      <c r="A8" s="23" t="s">
        <v>129</v>
      </c>
      <c r="B8" s="25" t="s">
        <v>553</v>
      </c>
      <c r="C8" s="28" t="s">
        <v>553</v>
      </c>
      <c r="D8" s="138">
        <v>1</v>
      </c>
      <c r="E8" s="137">
        <v>0.96666666666666667</v>
      </c>
      <c r="F8" s="132">
        <v>0.93333333333333335</v>
      </c>
      <c r="G8" s="125">
        <v>1</v>
      </c>
      <c r="H8" s="125">
        <v>0.93333333333333335</v>
      </c>
      <c r="I8" s="125">
        <v>0.96666666666666667</v>
      </c>
      <c r="J8" s="125">
        <v>0.96666666666666667</v>
      </c>
      <c r="K8" s="125">
        <v>0.96666666666666667</v>
      </c>
      <c r="L8" s="125">
        <v>1</v>
      </c>
      <c r="M8" s="125">
        <v>1</v>
      </c>
      <c r="N8" s="125">
        <v>0.96666666666666667</v>
      </c>
      <c r="O8" s="125">
        <v>1</v>
      </c>
      <c r="P8" s="17">
        <f t="shared" si="1"/>
        <v>0.97500000000000009</v>
      </c>
      <c r="Q8" s="3">
        <f t="shared" si="2"/>
        <v>0</v>
      </c>
      <c r="R8" s="4">
        <f>VLOOKUP(A8,'OP Collections'!B$116:K$144,10,FALSE)</f>
        <v>1353210.92</v>
      </c>
      <c r="S8" s="4">
        <f t="shared" si="3"/>
        <v>1353210.92</v>
      </c>
    </row>
    <row r="9" spans="1:19" x14ac:dyDescent="0.25">
      <c r="A9" s="23" t="s">
        <v>131</v>
      </c>
      <c r="B9" s="25" t="s">
        <v>554</v>
      </c>
      <c r="C9" s="28" t="s">
        <v>555</v>
      </c>
      <c r="D9" s="138">
        <v>0.84444444444444444</v>
      </c>
      <c r="E9" s="137">
        <v>0.84615384615384615</v>
      </c>
      <c r="F9" s="132">
        <v>0.89090909090909087</v>
      </c>
      <c r="G9" s="125">
        <v>1</v>
      </c>
      <c r="H9" s="125">
        <v>0.84482758620689657</v>
      </c>
      <c r="I9" s="125">
        <v>0.98305084745762716</v>
      </c>
      <c r="J9" s="125">
        <v>0.93333333333333335</v>
      </c>
      <c r="K9" s="125">
        <v>0.93103448275862066</v>
      </c>
      <c r="L9" s="125">
        <v>0.8928571428571429</v>
      </c>
      <c r="M9" s="125">
        <v>0.94915254237288138</v>
      </c>
      <c r="N9" s="125">
        <v>0.84745762711864403</v>
      </c>
      <c r="O9" s="125">
        <v>0.92592592592592593</v>
      </c>
      <c r="P9" s="17">
        <f t="shared" si="1"/>
        <v>0.90742890579487101</v>
      </c>
      <c r="Q9" s="3">
        <f t="shared" si="2"/>
        <v>0</v>
      </c>
      <c r="R9" s="4">
        <f>VLOOKUP(A9,'OP Collections'!B$116:K$144,10,FALSE)</f>
        <v>511583.96</v>
      </c>
      <c r="S9" s="4">
        <f t="shared" si="3"/>
        <v>511583.96</v>
      </c>
    </row>
    <row r="10" spans="1:19" x14ac:dyDescent="0.25">
      <c r="A10" s="23" t="s">
        <v>133</v>
      </c>
      <c r="B10" s="25" t="s">
        <v>556</v>
      </c>
      <c r="C10" s="28" t="s">
        <v>557</v>
      </c>
      <c r="D10" s="138">
        <v>0.91111111111111109</v>
      </c>
      <c r="E10" s="137">
        <v>0.46666666666666667</v>
      </c>
      <c r="F10" s="132">
        <v>0.5</v>
      </c>
      <c r="G10" s="125">
        <v>0.73333333333333328</v>
      </c>
      <c r="H10" s="125">
        <v>0.6</v>
      </c>
      <c r="I10" s="125">
        <v>0.6333333333333333</v>
      </c>
      <c r="J10" s="125">
        <v>0.66666666666666663</v>
      </c>
      <c r="K10" s="125">
        <v>0.6</v>
      </c>
      <c r="L10" s="125">
        <v>0.53333333333333333</v>
      </c>
      <c r="M10" s="125">
        <v>0.53333333333333333</v>
      </c>
      <c r="N10" s="125">
        <v>0.66666666666666663</v>
      </c>
      <c r="O10" s="125">
        <v>0.6</v>
      </c>
      <c r="P10" s="17">
        <f t="shared" si="1"/>
        <v>0.62037037037037035</v>
      </c>
      <c r="Q10" s="3">
        <f t="shared" si="2"/>
        <v>1.2895522388059704</v>
      </c>
      <c r="R10" s="4">
        <f>VLOOKUP(A10,'OP Collections'!B$116:K$144,10,FALSE)</f>
        <v>253939.84</v>
      </c>
      <c r="S10" s="4">
        <f t="shared" si="3"/>
        <v>327468.6891940299</v>
      </c>
    </row>
    <row r="11" spans="1:19" x14ac:dyDescent="0.25">
      <c r="A11" s="23" t="s">
        <v>135</v>
      </c>
      <c r="B11" s="25" t="s">
        <v>558</v>
      </c>
      <c r="C11" s="27" t="s">
        <v>559</v>
      </c>
      <c r="D11" s="138">
        <v>1</v>
      </c>
      <c r="E11" s="137">
        <v>0.96666666666666667</v>
      </c>
      <c r="F11" s="132">
        <v>0.8529411764705882</v>
      </c>
      <c r="G11" s="125">
        <v>0.72499999999999998</v>
      </c>
      <c r="H11" s="125">
        <v>0.77551020408163263</v>
      </c>
      <c r="I11" s="125">
        <v>0.79591836734693877</v>
      </c>
      <c r="J11" s="125">
        <v>0.8771929824561403</v>
      </c>
      <c r="K11" s="125">
        <v>0.92452830188679247</v>
      </c>
      <c r="L11" s="125">
        <v>0.875</v>
      </c>
      <c r="M11" s="125">
        <v>0.82</v>
      </c>
      <c r="N11" s="125">
        <v>0.66666666666666663</v>
      </c>
      <c r="O11" s="125">
        <v>0.81355932203389836</v>
      </c>
      <c r="P11" s="17">
        <f t="shared" si="1"/>
        <v>0.84108197396744355</v>
      </c>
      <c r="Q11" s="3">
        <f t="shared" si="2"/>
        <v>0</v>
      </c>
      <c r="R11" s="4">
        <f>VLOOKUP(A11,'OP Collections'!B$116:K$144,10,FALSE)</f>
        <v>549736.88</v>
      </c>
      <c r="S11" s="4">
        <f t="shared" si="3"/>
        <v>549736.88</v>
      </c>
    </row>
    <row r="12" spans="1:19" x14ac:dyDescent="0.25">
      <c r="A12" s="23" t="s">
        <v>137</v>
      </c>
      <c r="B12" s="25" t="s">
        <v>560</v>
      </c>
      <c r="C12" s="27" t="s">
        <v>560</v>
      </c>
      <c r="D12" s="138">
        <v>0.96666666666666667</v>
      </c>
      <c r="E12" s="137">
        <v>1</v>
      </c>
      <c r="F12" s="132">
        <v>1</v>
      </c>
      <c r="G12" s="125">
        <v>1</v>
      </c>
      <c r="H12" s="125">
        <v>1</v>
      </c>
      <c r="I12" s="125">
        <v>1</v>
      </c>
      <c r="J12" s="125">
        <v>0.96666666666666667</v>
      </c>
      <c r="K12" s="125">
        <v>1</v>
      </c>
      <c r="L12" s="125">
        <v>1</v>
      </c>
      <c r="M12" s="125">
        <v>1</v>
      </c>
      <c r="N12" s="125">
        <v>1</v>
      </c>
      <c r="O12" s="125">
        <v>1</v>
      </c>
      <c r="P12" s="17">
        <f t="shared" si="1"/>
        <v>0.99444444444444446</v>
      </c>
      <c r="Q12" s="3">
        <f t="shared" si="2"/>
        <v>0</v>
      </c>
      <c r="R12" s="4">
        <f>VLOOKUP(A12,'OP Collections'!B$116:K$144,10,FALSE)</f>
        <v>356198.15</v>
      </c>
      <c r="S12" s="4">
        <f t="shared" si="3"/>
        <v>356198.15</v>
      </c>
    </row>
    <row r="13" spans="1:19" x14ac:dyDescent="0.25">
      <c r="A13" s="23" t="s">
        <v>141</v>
      </c>
      <c r="B13" s="25" t="s">
        <v>561</v>
      </c>
      <c r="C13" s="27" t="s">
        <v>562</v>
      </c>
      <c r="D13" s="138">
        <v>0.97222222222222221</v>
      </c>
      <c r="E13" s="137">
        <v>0.96666666666666667</v>
      </c>
      <c r="F13" s="132">
        <v>0.95238095238095233</v>
      </c>
      <c r="G13" s="125">
        <v>0.9464285714285714</v>
      </c>
      <c r="H13" s="125">
        <v>0.67272727272727273</v>
      </c>
      <c r="I13" s="125">
        <v>0.96</v>
      </c>
      <c r="J13" s="125">
        <v>0.5178571428571429</v>
      </c>
      <c r="K13" s="125">
        <v>0.9642857142857143</v>
      </c>
      <c r="L13" s="125">
        <v>0.94545454545454544</v>
      </c>
      <c r="M13" s="125">
        <v>0.95918367346938771</v>
      </c>
      <c r="N13" s="125">
        <v>0.96226415094339623</v>
      </c>
      <c r="O13" s="125">
        <v>0.94736842105263153</v>
      </c>
      <c r="P13" s="17">
        <f t="shared" si="1"/>
        <v>0.89723661112404196</v>
      </c>
      <c r="Q13" s="3">
        <f t="shared" si="2"/>
        <v>0</v>
      </c>
      <c r="R13" s="4">
        <f>VLOOKUP(A13,'OP Collections'!B$116:K$144,10,FALSE)</f>
        <v>625954.97</v>
      </c>
      <c r="S13" s="4">
        <f t="shared" si="3"/>
        <v>625954.97</v>
      </c>
    </row>
    <row r="14" spans="1:19" x14ac:dyDescent="0.25">
      <c r="A14" s="23" t="s">
        <v>143</v>
      </c>
      <c r="B14" s="25" t="s">
        <v>563</v>
      </c>
      <c r="C14" s="28" t="s">
        <v>563</v>
      </c>
      <c r="D14" s="138">
        <v>0.23333333333333334</v>
      </c>
      <c r="E14" s="139">
        <v>0.2</v>
      </c>
      <c r="F14" s="132">
        <v>0.23333333333333334</v>
      </c>
      <c r="G14" s="125">
        <v>6.6666666666666666E-2</v>
      </c>
      <c r="H14" s="125">
        <v>0.13333333333333333</v>
      </c>
      <c r="I14" s="125">
        <v>0.23333333333333334</v>
      </c>
      <c r="J14" s="125">
        <v>0.23333333333333334</v>
      </c>
      <c r="K14" s="125">
        <v>6.6666666666666666E-2</v>
      </c>
      <c r="L14" s="125">
        <v>0.1</v>
      </c>
      <c r="M14" s="125">
        <v>0.4</v>
      </c>
      <c r="N14" s="125">
        <v>0.46666666666666667</v>
      </c>
      <c r="O14" s="125">
        <v>0.6</v>
      </c>
      <c r="P14" s="17">
        <f t="shared" si="1"/>
        <v>0.24722222222222226</v>
      </c>
      <c r="Q14" s="3">
        <f t="shared" si="2"/>
        <v>3.2359550561797747</v>
      </c>
      <c r="R14" s="4">
        <f>VLOOKUP(A14,'OP Collections'!B$116:K$144,10,FALSE)</f>
        <v>3151416.9</v>
      </c>
      <c r="S14" s="4">
        <f t="shared" si="3"/>
        <v>10197843.451685391</v>
      </c>
    </row>
    <row r="15" spans="1:19" s="36" customFormat="1" x14ac:dyDescent="0.25">
      <c r="A15" s="154" t="s">
        <v>564</v>
      </c>
      <c r="B15" s="155" t="s">
        <v>565</v>
      </c>
      <c r="C15" s="156" t="s">
        <v>565</v>
      </c>
      <c r="D15" s="157"/>
      <c r="E15" s="171"/>
      <c r="F15" s="159"/>
      <c r="G15" s="160"/>
      <c r="H15" s="160"/>
      <c r="I15" s="160"/>
      <c r="J15" s="160"/>
      <c r="K15" s="160"/>
      <c r="L15" s="160"/>
      <c r="M15" s="160"/>
      <c r="N15" s="160"/>
      <c r="O15" s="160"/>
      <c r="P15" s="166">
        <v>0</v>
      </c>
      <c r="Q15" s="3"/>
      <c r="R15" s="168" t="e">
        <f>VLOOKUP(A15,'OP Collections'!B$116:K$144,10,FALSE)</f>
        <v>#N/A</v>
      </c>
      <c r="S15" s="168" t="e">
        <f t="shared" si="3"/>
        <v>#N/A</v>
      </c>
    </row>
    <row r="16" spans="1:19" s="163" customFormat="1" x14ac:dyDescent="0.25">
      <c r="A16" s="154" t="s">
        <v>566</v>
      </c>
      <c r="B16" s="155" t="s">
        <v>567</v>
      </c>
      <c r="C16" s="156" t="s">
        <v>567</v>
      </c>
      <c r="D16" s="157">
        <v>0.8</v>
      </c>
      <c r="E16" s="158">
        <v>0.7</v>
      </c>
      <c r="F16" s="159">
        <v>0.66666666666666663</v>
      </c>
      <c r="G16" s="160">
        <v>0.43333333333333335</v>
      </c>
      <c r="H16" s="160">
        <v>0.6</v>
      </c>
      <c r="I16" s="160">
        <v>0.53333333333333333</v>
      </c>
      <c r="J16" s="160">
        <v>0.56666666666666665</v>
      </c>
      <c r="K16" s="160">
        <v>0.73333333333333328</v>
      </c>
      <c r="L16" s="160">
        <v>0.7</v>
      </c>
      <c r="M16" s="160">
        <v>0.83333333333333337</v>
      </c>
      <c r="N16" s="160"/>
      <c r="O16" s="160"/>
      <c r="P16" s="161">
        <f>AVERAGE(D16:O16)</f>
        <v>0.65666666666666662</v>
      </c>
      <c r="Q16" s="3">
        <f t="shared" si="2"/>
        <v>1.218274111675127</v>
      </c>
      <c r="R16" s="162" t="e">
        <f>VLOOKUP(A16,'OP Collections'!B$116:K$144,10,FALSE)</f>
        <v>#N/A</v>
      </c>
      <c r="S16" s="162" t="e">
        <f t="shared" si="3"/>
        <v>#N/A</v>
      </c>
    </row>
    <row r="17" spans="1:20" s="36" customFormat="1" ht="15.75" thickBot="1" x14ac:dyDescent="0.3">
      <c r="A17" s="154" t="s">
        <v>568</v>
      </c>
      <c r="B17" s="155" t="s">
        <v>569</v>
      </c>
      <c r="C17" s="156" t="s">
        <v>569</v>
      </c>
      <c r="D17" s="164"/>
      <c r="E17" s="165"/>
      <c r="F17" s="159"/>
      <c r="G17" s="160"/>
      <c r="H17" s="160"/>
      <c r="I17" s="160"/>
      <c r="J17" s="160"/>
      <c r="K17" s="160"/>
      <c r="L17" s="160"/>
      <c r="M17" s="160"/>
      <c r="N17" s="160"/>
      <c r="O17" s="160"/>
      <c r="P17" s="166">
        <v>0</v>
      </c>
      <c r="Q17" s="3"/>
      <c r="R17" s="168" t="e">
        <f>VLOOKUP(A17,'OP Collections'!B$116:K$144,10,FALSE)</f>
        <v>#N/A</v>
      </c>
      <c r="S17" s="168" t="e">
        <f t="shared" si="3"/>
        <v>#N/A</v>
      </c>
    </row>
    <row r="18" spans="1:20" s="36" customFormat="1" ht="16.5" thickTop="1" thickBot="1" x14ac:dyDescent="0.3">
      <c r="A18" s="154" t="s">
        <v>570</v>
      </c>
      <c r="B18" s="155" t="s">
        <v>571</v>
      </c>
      <c r="C18" s="169" t="s">
        <v>571</v>
      </c>
      <c r="D18" s="161"/>
      <c r="E18" s="161"/>
      <c r="F18" s="159"/>
      <c r="G18" s="160"/>
      <c r="H18" s="160"/>
      <c r="I18" s="160"/>
      <c r="J18" s="160"/>
      <c r="K18" s="160"/>
      <c r="L18" s="160"/>
      <c r="M18" s="160"/>
      <c r="N18" s="160"/>
      <c r="O18" s="160"/>
      <c r="P18" s="166">
        <v>0</v>
      </c>
      <c r="Q18" s="3"/>
      <c r="R18" s="168" t="e">
        <f>VLOOKUP(A18,'OP Collections'!B$116:K$144,10,FALSE)</f>
        <v>#N/A</v>
      </c>
      <c r="S18" s="168" t="e">
        <f t="shared" si="3"/>
        <v>#N/A</v>
      </c>
    </row>
    <row r="19" spans="1:20" ht="16.5" thickTop="1" thickBot="1" x14ac:dyDescent="0.3">
      <c r="A19" s="23"/>
      <c r="B19" s="25"/>
      <c r="C19" s="29" t="s">
        <v>572</v>
      </c>
      <c r="D19" s="71">
        <f>AVERAGE(D21:D23)</f>
        <v>0.86111111111111105</v>
      </c>
      <c r="E19" s="71">
        <f t="shared" ref="E19:O19" si="4">AVERAGE(E21:E23)</f>
        <v>0.94444444444444453</v>
      </c>
      <c r="F19" s="71">
        <f t="shared" si="4"/>
        <v>0.83333333333333337</v>
      </c>
      <c r="G19" s="71">
        <f t="shared" si="4"/>
        <v>0.61111111111111116</v>
      </c>
      <c r="H19" s="71">
        <f t="shared" si="4"/>
        <v>0.78616780045351475</v>
      </c>
      <c r="I19" s="71">
        <f t="shared" si="4"/>
        <v>0.79090909090909101</v>
      </c>
      <c r="J19" s="71">
        <f t="shared" si="4"/>
        <v>0.74444444444444446</v>
      </c>
      <c r="K19" s="71">
        <f t="shared" si="4"/>
        <v>0.87777777777777777</v>
      </c>
      <c r="L19" s="71">
        <f t="shared" si="4"/>
        <v>0.82638888888888884</v>
      </c>
      <c r="M19" s="71">
        <f t="shared" si="4"/>
        <v>0.58888888888888891</v>
      </c>
      <c r="N19" s="71">
        <f t="shared" si="4"/>
        <v>0.71111111111111114</v>
      </c>
      <c r="O19" s="71">
        <f t="shared" si="4"/>
        <v>0.6777777777777777</v>
      </c>
      <c r="P19" s="17">
        <f t="shared" si="1"/>
        <v>0.77112214835429116</v>
      </c>
      <c r="Q19" s="3">
        <f t="shared" si="2"/>
        <v>1.0374491274921092</v>
      </c>
      <c r="R19" s="4" t="e">
        <f>VLOOKUP(A19,'OP Collections'!B$116:K$144,10,FALSE)</f>
        <v>#N/A</v>
      </c>
      <c r="S19" s="4"/>
    </row>
    <row r="20" spans="1:20" ht="15.75" thickTop="1" x14ac:dyDescent="0.25">
      <c r="A20" s="110" t="s">
        <v>126</v>
      </c>
      <c r="B20" s="111" t="s">
        <v>573</v>
      </c>
      <c r="C20" s="112" t="s">
        <v>573</v>
      </c>
      <c r="D20" s="138">
        <v>0.5</v>
      </c>
      <c r="E20" s="137">
        <v>0.66666666666666663</v>
      </c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>
        <f t="shared" si="1"/>
        <v>0.58333333333333326</v>
      </c>
      <c r="Q20" s="3">
        <f t="shared" si="2"/>
        <v>1.3714285714285717</v>
      </c>
      <c r="R20" s="4">
        <f>VLOOKUP(A20,'OP Collections'!B$116:K$144,10,FALSE)</f>
        <v>0</v>
      </c>
      <c r="S20" s="104">
        <v>0</v>
      </c>
      <c r="T20" s="103" t="s">
        <v>612</v>
      </c>
    </row>
    <row r="21" spans="1:20" x14ac:dyDescent="0.25">
      <c r="A21" s="23" t="s">
        <v>127</v>
      </c>
      <c r="B21" s="25" t="s">
        <v>574</v>
      </c>
      <c r="C21" s="30" t="s">
        <v>574</v>
      </c>
      <c r="D21" s="138">
        <v>0.95</v>
      </c>
      <c r="E21" s="137">
        <v>0.93333333333333335</v>
      </c>
      <c r="F21" s="131">
        <v>0.83333333333333337</v>
      </c>
      <c r="G21" s="129">
        <v>0.4</v>
      </c>
      <c r="H21" s="129">
        <v>0.76666666666666672</v>
      </c>
      <c r="I21" s="129">
        <v>0.76666666666666672</v>
      </c>
      <c r="J21" s="129">
        <v>0.46666666666666667</v>
      </c>
      <c r="K21" s="129">
        <v>0.83333333333333337</v>
      </c>
      <c r="L21" s="129">
        <v>0.66666666666666663</v>
      </c>
      <c r="M21" s="129">
        <v>0.83333333333333337</v>
      </c>
      <c r="N21" s="129">
        <v>0.66666666666666663</v>
      </c>
      <c r="O21" s="129">
        <v>0.8666666666666667</v>
      </c>
      <c r="P21" s="17">
        <f t="shared" si="1"/>
        <v>0.74861111111111123</v>
      </c>
      <c r="Q21" s="3">
        <f t="shared" si="2"/>
        <v>1.0686456400742115</v>
      </c>
      <c r="R21" s="4">
        <f>VLOOKUP(A21,'OP Collections'!B$116:K$144,10,FALSE)</f>
        <v>337169.21</v>
      </c>
      <c r="S21" s="4">
        <f t="shared" si="3"/>
        <v>360314.40623376623</v>
      </c>
    </row>
    <row r="22" spans="1:20" x14ac:dyDescent="0.25">
      <c r="A22" s="23" t="s">
        <v>153</v>
      </c>
      <c r="B22" s="25" t="s">
        <v>575</v>
      </c>
      <c r="C22" s="28" t="s">
        <v>575</v>
      </c>
      <c r="D22" s="138">
        <v>0.6333333333333333</v>
      </c>
      <c r="E22" s="137">
        <v>0.9</v>
      </c>
      <c r="F22" s="132">
        <v>0.66666666666666663</v>
      </c>
      <c r="G22" s="125">
        <v>0.43333333333333335</v>
      </c>
      <c r="H22" s="125">
        <v>0.59183673469387754</v>
      </c>
      <c r="I22" s="125">
        <v>0.60606060606060608</v>
      </c>
      <c r="J22" s="125">
        <v>0.76666666666666672</v>
      </c>
      <c r="K22" s="125">
        <v>0.8</v>
      </c>
      <c r="L22" s="125">
        <v>0.8125</v>
      </c>
      <c r="M22" s="125">
        <v>0.8</v>
      </c>
      <c r="N22" s="125">
        <v>0.8666666666666667</v>
      </c>
      <c r="O22" s="125">
        <v>0.9</v>
      </c>
      <c r="P22" s="17">
        <f t="shared" si="1"/>
        <v>0.7314220006184291</v>
      </c>
      <c r="Q22" s="3">
        <f t="shared" si="2"/>
        <v>1.0937598258236518</v>
      </c>
      <c r="R22" s="4">
        <f>VLOOKUP(A22,'OP Collections'!B$116:K$144,10,FALSE)</f>
        <v>257512.79</v>
      </c>
      <c r="S22" s="4">
        <f t="shared" si="3"/>
        <v>281657.14433776261</v>
      </c>
    </row>
    <row r="23" spans="1:20" ht="15.75" thickBot="1" x14ac:dyDescent="0.3">
      <c r="A23" s="23" t="s">
        <v>157</v>
      </c>
      <c r="B23" s="25" t="s">
        <v>576</v>
      </c>
      <c r="C23" s="31" t="s">
        <v>576</v>
      </c>
      <c r="D23" s="147">
        <v>1</v>
      </c>
      <c r="E23" s="146">
        <v>1</v>
      </c>
      <c r="F23" s="132">
        <v>1</v>
      </c>
      <c r="G23" s="125">
        <v>1</v>
      </c>
      <c r="H23" s="125">
        <v>1</v>
      </c>
      <c r="I23" s="125">
        <v>1</v>
      </c>
      <c r="J23" s="125">
        <v>1</v>
      </c>
      <c r="K23" s="125">
        <v>1</v>
      </c>
      <c r="L23" s="125">
        <v>1</v>
      </c>
      <c r="M23" s="125">
        <v>0.13333333333333333</v>
      </c>
      <c r="N23" s="125">
        <v>0.6</v>
      </c>
      <c r="O23" s="125">
        <v>0.26666666666666666</v>
      </c>
      <c r="P23" s="17">
        <f t="shared" si="1"/>
        <v>0.83333333333333337</v>
      </c>
      <c r="Q23" s="3">
        <f t="shared" si="2"/>
        <v>0</v>
      </c>
      <c r="R23" s="4">
        <f>VLOOKUP(A23,'OP Collections'!B$116:K$144,10,FALSE)</f>
        <v>185902.97</v>
      </c>
      <c r="S23" s="4">
        <f t="shared" si="3"/>
        <v>185902.97</v>
      </c>
    </row>
    <row r="24" spans="1:20" ht="16.5" thickTop="1" thickBot="1" x14ac:dyDescent="0.3">
      <c r="A24" s="23"/>
      <c r="B24" s="25"/>
      <c r="C24" s="29" t="s">
        <v>577</v>
      </c>
      <c r="D24" s="71">
        <f>AVERAGE(D25:D32)</f>
        <v>0.88463541666666679</v>
      </c>
      <c r="E24" s="71">
        <f t="shared" ref="E24:O24" si="5">AVERAGE(E25:E32)</f>
        <v>0.90636261261261253</v>
      </c>
      <c r="F24" s="71">
        <f t="shared" si="5"/>
        <v>0.90678146258503411</v>
      </c>
      <c r="G24" s="71">
        <f t="shared" si="5"/>
        <v>0.80249999999999999</v>
      </c>
      <c r="H24" s="71">
        <f t="shared" si="5"/>
        <v>0.77778367289190709</v>
      </c>
      <c r="I24" s="71">
        <f t="shared" si="5"/>
        <v>0.82857142857142863</v>
      </c>
      <c r="J24" s="71">
        <f t="shared" si="5"/>
        <v>0.87491883116883118</v>
      </c>
      <c r="K24" s="71">
        <f t="shared" si="5"/>
        <v>0.8979166666666667</v>
      </c>
      <c r="L24" s="71">
        <f t="shared" si="5"/>
        <v>0.89099576271186443</v>
      </c>
      <c r="M24" s="71">
        <f t="shared" si="5"/>
        <v>0.88857758620689664</v>
      </c>
      <c r="N24" s="71">
        <f t="shared" si="5"/>
        <v>0.86810064935064934</v>
      </c>
      <c r="O24" s="71">
        <f t="shared" si="5"/>
        <v>0.84703947368421062</v>
      </c>
      <c r="P24" s="17">
        <f t="shared" si="1"/>
        <v>0.8645152969263975</v>
      </c>
      <c r="Q24" s="3">
        <f t="shared" si="2"/>
        <v>0</v>
      </c>
      <c r="R24" s="4" t="e">
        <f>VLOOKUP(A24,'OP Collections'!B$116:K$144,10,FALSE)</f>
        <v>#N/A</v>
      </c>
      <c r="S24" s="4"/>
    </row>
    <row r="25" spans="1:20" ht="15.75" thickTop="1" x14ac:dyDescent="0.25">
      <c r="A25" s="23" t="s">
        <v>110</v>
      </c>
      <c r="B25" s="25" t="s">
        <v>578</v>
      </c>
      <c r="C25" s="26" t="s">
        <v>578</v>
      </c>
      <c r="D25" s="149">
        <v>0.96666666666666667</v>
      </c>
      <c r="E25" s="148">
        <v>0.96666666666666667</v>
      </c>
      <c r="F25" s="131">
        <v>1</v>
      </c>
      <c r="G25" s="129">
        <v>0.6</v>
      </c>
      <c r="H25" s="129">
        <v>0.56666666666666665</v>
      </c>
      <c r="I25" s="150">
        <v>0.73333333333333328</v>
      </c>
      <c r="J25" s="131">
        <v>0.8666666666666667</v>
      </c>
      <c r="K25" s="129">
        <v>1</v>
      </c>
      <c r="L25" s="129">
        <v>0.83333333333333337</v>
      </c>
      <c r="M25" s="129">
        <v>0.96666666666666667</v>
      </c>
      <c r="N25" s="129">
        <v>0.93333333333333335</v>
      </c>
      <c r="O25" s="129">
        <v>0.8</v>
      </c>
      <c r="P25" s="17">
        <f t="shared" si="1"/>
        <v>0.85277777777777786</v>
      </c>
      <c r="Q25" s="3">
        <f t="shared" si="2"/>
        <v>0</v>
      </c>
      <c r="R25" s="4">
        <f>VLOOKUP(A25,'OP Collections'!B$116:K$144,10,FALSE)</f>
        <v>254375.22</v>
      </c>
      <c r="S25" s="4">
        <f t="shared" si="3"/>
        <v>254375.22</v>
      </c>
    </row>
    <row r="26" spans="1:20" x14ac:dyDescent="0.25">
      <c r="A26" s="23" t="s">
        <v>112</v>
      </c>
      <c r="B26" s="25" t="s">
        <v>579</v>
      </c>
      <c r="C26" s="27" t="s">
        <v>579</v>
      </c>
      <c r="D26" s="149">
        <v>0.84375</v>
      </c>
      <c r="E26" s="148">
        <v>0.93333333333333335</v>
      </c>
      <c r="F26" s="132">
        <v>0.93333333333333335</v>
      </c>
      <c r="G26" s="125">
        <v>0.93333333333333335</v>
      </c>
      <c r="H26" s="125">
        <v>0.93333333333333335</v>
      </c>
      <c r="I26" s="151">
        <v>0.96666666666666667</v>
      </c>
      <c r="J26" s="152">
        <v>1</v>
      </c>
      <c r="K26" s="125">
        <v>0.96666666666666667</v>
      </c>
      <c r="L26" s="125">
        <v>1</v>
      </c>
      <c r="M26" s="125">
        <v>1</v>
      </c>
      <c r="N26" s="125">
        <v>0.96666666666666667</v>
      </c>
      <c r="O26" s="125">
        <v>1</v>
      </c>
      <c r="P26" s="17">
        <f t="shared" si="1"/>
        <v>0.95642361111111118</v>
      </c>
      <c r="Q26" s="3">
        <f t="shared" si="2"/>
        <v>0</v>
      </c>
      <c r="R26" s="4">
        <f>VLOOKUP(A26,'OP Collections'!B$116:K$144,10,FALSE)</f>
        <v>638257.53</v>
      </c>
      <c r="S26" s="4">
        <f t="shared" si="3"/>
        <v>638257.53</v>
      </c>
    </row>
    <row r="27" spans="1:20" x14ac:dyDescent="0.25">
      <c r="A27" s="23" t="s">
        <v>114</v>
      </c>
      <c r="B27" s="25" t="s">
        <v>580</v>
      </c>
      <c r="C27" s="27" t="s">
        <v>580</v>
      </c>
      <c r="D27" s="149">
        <v>0.7</v>
      </c>
      <c r="E27" s="148">
        <v>0.56756756756756754</v>
      </c>
      <c r="F27" s="132">
        <v>0.625</v>
      </c>
      <c r="G27" s="125">
        <v>0.46666666666666667</v>
      </c>
      <c r="H27" s="125">
        <v>0.5161290322580645</v>
      </c>
      <c r="I27" s="151">
        <v>0.66666666666666663</v>
      </c>
      <c r="J27" s="131">
        <v>0.69696969696969702</v>
      </c>
      <c r="K27" s="125">
        <v>0.75</v>
      </c>
      <c r="L27" s="125">
        <v>0.76666666666666672</v>
      </c>
      <c r="M27" s="125">
        <v>0.5</v>
      </c>
      <c r="N27" s="125">
        <v>0.5757575757575758</v>
      </c>
      <c r="O27" s="125">
        <v>0.6</v>
      </c>
      <c r="P27" s="17">
        <f t="shared" si="1"/>
        <v>0.61928532271274206</v>
      </c>
      <c r="Q27" s="3">
        <f t="shared" si="2"/>
        <v>1.2918116587934754</v>
      </c>
      <c r="R27" s="4">
        <f>VLOOKUP(A27,'OP Collections'!B$116:K$144,10,FALSE)</f>
        <v>1142267.29</v>
      </c>
      <c r="S27" s="4">
        <f t="shared" si="3"/>
        <v>1475594.2026804278</v>
      </c>
    </row>
    <row r="28" spans="1:20" x14ac:dyDescent="0.25">
      <c r="A28" s="23" t="s">
        <v>116</v>
      </c>
      <c r="B28" s="25" t="s">
        <v>581</v>
      </c>
      <c r="C28" s="27" t="s">
        <v>581</v>
      </c>
      <c r="D28" s="149">
        <v>0.96666666666666667</v>
      </c>
      <c r="E28" s="148">
        <v>1</v>
      </c>
      <c r="F28" s="132">
        <v>0.96666666666666667</v>
      </c>
      <c r="G28" s="125">
        <v>1</v>
      </c>
      <c r="H28" s="125">
        <v>0.96666666666666667</v>
      </c>
      <c r="I28" s="125">
        <v>0.96666666666666667</v>
      </c>
      <c r="J28" s="125">
        <v>0.96666666666666667</v>
      </c>
      <c r="K28" s="125">
        <v>1</v>
      </c>
      <c r="L28" s="125">
        <v>0.96666666666666667</v>
      </c>
      <c r="M28" s="125">
        <v>1</v>
      </c>
      <c r="N28" s="125">
        <v>0.96666666666666667</v>
      </c>
      <c r="O28" s="125">
        <v>0.96666666666666667</v>
      </c>
      <c r="P28" s="17">
        <f t="shared" si="1"/>
        <v>0.97777777777777786</v>
      </c>
      <c r="Q28" s="3">
        <f t="shared" si="2"/>
        <v>0</v>
      </c>
      <c r="R28" s="4">
        <f>VLOOKUP(A28,'OP Collections'!B$116:K$144,10,FALSE)</f>
        <v>309446.87</v>
      </c>
      <c r="S28" s="4">
        <f t="shared" si="3"/>
        <v>309446.87</v>
      </c>
    </row>
    <row r="29" spans="1:20" x14ac:dyDescent="0.25">
      <c r="A29" s="23" t="s">
        <v>145</v>
      </c>
      <c r="B29" s="25" t="s">
        <v>582</v>
      </c>
      <c r="C29" s="27" t="s">
        <v>582</v>
      </c>
      <c r="D29" s="149">
        <v>0.83333333333333337</v>
      </c>
      <c r="E29" s="148">
        <v>0.9</v>
      </c>
      <c r="F29" s="132">
        <v>0.93333333333333335</v>
      </c>
      <c r="G29" s="125">
        <v>0.96666666666666667</v>
      </c>
      <c r="H29" s="125">
        <v>0.9</v>
      </c>
      <c r="I29" s="125">
        <v>0.96666666666666667</v>
      </c>
      <c r="J29" s="125">
        <v>1</v>
      </c>
      <c r="K29" s="125">
        <v>0.96666666666666667</v>
      </c>
      <c r="L29" s="125">
        <v>1</v>
      </c>
      <c r="M29" s="125">
        <v>0.96666666666666667</v>
      </c>
      <c r="N29" s="125">
        <v>0.96666666666666667</v>
      </c>
      <c r="O29" s="125">
        <v>1</v>
      </c>
      <c r="P29" s="17">
        <f t="shared" si="1"/>
        <v>0.95000000000000018</v>
      </c>
      <c r="Q29" s="3">
        <f t="shared" si="2"/>
        <v>0</v>
      </c>
      <c r="R29" s="4">
        <f>VLOOKUP(A29,'OP Collections'!B$116:K$144,10,FALSE)</f>
        <v>1883424.22</v>
      </c>
      <c r="S29" s="4">
        <f t="shared" si="3"/>
        <v>1883424.22</v>
      </c>
    </row>
    <row r="30" spans="1:20" x14ac:dyDescent="0.25">
      <c r="A30" s="23" t="s">
        <v>147</v>
      </c>
      <c r="B30" s="25" t="s">
        <v>583</v>
      </c>
      <c r="C30" s="27" t="s">
        <v>583</v>
      </c>
      <c r="D30" s="149">
        <v>0.9</v>
      </c>
      <c r="E30" s="148">
        <v>1</v>
      </c>
      <c r="F30" s="132">
        <v>1</v>
      </c>
      <c r="G30" s="125">
        <v>0.93333333333333335</v>
      </c>
      <c r="H30" s="125">
        <v>0.8833333333333333</v>
      </c>
      <c r="I30" s="125">
        <v>0.9</v>
      </c>
      <c r="J30" s="125">
        <v>0.96666666666666667</v>
      </c>
      <c r="K30" s="125">
        <v>0.91666666666666663</v>
      </c>
      <c r="L30" s="125">
        <v>0.91666666666666663</v>
      </c>
      <c r="M30" s="125">
        <v>0.98333333333333328</v>
      </c>
      <c r="N30" s="125">
        <v>1</v>
      </c>
      <c r="O30" s="125">
        <v>0.95</v>
      </c>
      <c r="P30" s="17">
        <f t="shared" si="1"/>
        <v>0.9458333333333333</v>
      </c>
      <c r="Q30" s="3">
        <f t="shared" si="2"/>
        <v>0</v>
      </c>
      <c r="R30" s="4">
        <f>VLOOKUP(A30,'OP Collections'!B$116:K$144,10,FALSE)</f>
        <v>316004.88</v>
      </c>
      <c r="S30" s="4">
        <f t="shared" si="3"/>
        <v>316004.88</v>
      </c>
    </row>
    <row r="31" spans="1:20" x14ac:dyDescent="0.25">
      <c r="A31" s="23" t="s">
        <v>149</v>
      </c>
      <c r="B31" s="25" t="s">
        <v>584</v>
      </c>
      <c r="C31" s="27" t="s">
        <v>584</v>
      </c>
      <c r="D31" s="149">
        <v>0.8666666666666667</v>
      </c>
      <c r="E31" s="148">
        <v>0.8833333333333333</v>
      </c>
      <c r="F31" s="132">
        <v>0.79591836734693877</v>
      </c>
      <c r="G31" s="125">
        <v>0.52</v>
      </c>
      <c r="H31" s="125">
        <v>0.45614035087719296</v>
      </c>
      <c r="I31" s="125">
        <v>0.42857142857142855</v>
      </c>
      <c r="J31" s="125">
        <v>0.5357142857142857</v>
      </c>
      <c r="K31" s="125">
        <v>0.58333333333333337</v>
      </c>
      <c r="L31" s="125">
        <v>0.67796610169491522</v>
      </c>
      <c r="M31" s="153">
        <v>0.75862068965517238</v>
      </c>
      <c r="N31" s="152">
        <v>0.5357142857142857</v>
      </c>
      <c r="O31" s="125">
        <v>0.52631578947368418</v>
      </c>
      <c r="P31" s="17">
        <f t="shared" si="1"/>
        <v>0.63069121936510308</v>
      </c>
      <c r="Q31" s="3">
        <f t="shared" si="2"/>
        <v>1.2684495604764163</v>
      </c>
      <c r="R31" s="4">
        <f>VLOOKUP(A31,'OP Collections'!B$116:K$144,10,FALSE)</f>
        <v>323471.46999999997</v>
      </c>
      <c r="S31" s="4">
        <f t="shared" si="3"/>
        <v>410307.24394816026</v>
      </c>
    </row>
    <row r="32" spans="1:20" x14ac:dyDescent="0.25">
      <c r="A32" s="23" t="s">
        <v>161</v>
      </c>
      <c r="B32" s="25" t="s">
        <v>585</v>
      </c>
      <c r="C32" s="27" t="s">
        <v>586</v>
      </c>
      <c r="D32" s="149">
        <v>1</v>
      </c>
      <c r="E32" s="148">
        <v>1</v>
      </c>
      <c r="F32" s="132">
        <v>1</v>
      </c>
      <c r="G32" s="125">
        <v>1</v>
      </c>
      <c r="H32" s="125">
        <v>1</v>
      </c>
      <c r="I32" s="125">
        <v>1</v>
      </c>
      <c r="J32" s="125">
        <v>0.96666666666666667</v>
      </c>
      <c r="K32" s="125">
        <v>1</v>
      </c>
      <c r="L32" s="125">
        <v>0.96666666666666667</v>
      </c>
      <c r="M32" s="129">
        <v>0.93333333333333335</v>
      </c>
      <c r="N32" s="129">
        <v>1</v>
      </c>
      <c r="O32" s="125">
        <v>0.93333333333333335</v>
      </c>
      <c r="P32" s="17">
        <f t="shared" si="1"/>
        <v>0.98333333333333339</v>
      </c>
      <c r="Q32" s="3">
        <f t="shared" si="2"/>
        <v>0</v>
      </c>
      <c r="R32" s="4">
        <f>VLOOKUP(A32,'OP Collections'!B$116:K$144,10,FALSE)</f>
        <v>181025.59</v>
      </c>
      <c r="S32" s="4">
        <f t="shared" si="3"/>
        <v>181025.59</v>
      </c>
    </row>
    <row r="33" spans="1:19" x14ac:dyDescent="0.25">
      <c r="A33" s="23" t="s">
        <v>163</v>
      </c>
      <c r="B33" s="25" t="s">
        <v>587</v>
      </c>
      <c r="C33" s="27" t="s">
        <v>587</v>
      </c>
      <c r="D33" s="145"/>
      <c r="E33" s="145"/>
      <c r="F33" s="132"/>
      <c r="G33" s="125"/>
      <c r="H33" s="125"/>
      <c r="I33" s="125"/>
      <c r="J33" s="125"/>
      <c r="K33" s="125"/>
      <c r="L33" s="125"/>
      <c r="M33" s="125"/>
      <c r="N33" s="125"/>
      <c r="O33" s="125"/>
      <c r="P33" s="17">
        <v>0</v>
      </c>
      <c r="Q33" s="3"/>
      <c r="R33" s="4" t="str">
        <f>VLOOKUP(A33,'OP Collections'!B$116:K$144,10,FALSE)</f>
        <v>NULL</v>
      </c>
      <c r="S33" s="4" t="str">
        <f t="shared" si="3"/>
        <v>NULL</v>
      </c>
    </row>
    <row r="34" spans="1:19" ht="15.75" thickBot="1" x14ac:dyDescent="0.3">
      <c r="A34" s="22" t="s">
        <v>165</v>
      </c>
      <c r="B34" s="32" t="s">
        <v>588</v>
      </c>
      <c r="C34" s="33" t="s">
        <v>588</v>
      </c>
      <c r="D34" s="145"/>
      <c r="E34" s="145"/>
      <c r="F34" s="132"/>
      <c r="G34" s="125"/>
      <c r="H34" s="125"/>
      <c r="I34" s="125"/>
      <c r="J34" s="125"/>
      <c r="K34" s="125"/>
      <c r="L34" s="125"/>
      <c r="M34" s="125"/>
      <c r="N34" s="125"/>
      <c r="O34" s="125"/>
      <c r="P34" s="17">
        <v>0</v>
      </c>
      <c r="Q34" s="3"/>
      <c r="R34" s="4" t="str">
        <f>VLOOKUP(A34,'OP Collections'!B$116:K$144,10,FALSE)</f>
        <v>NULL</v>
      </c>
      <c r="S34" s="34" t="str">
        <f t="shared" si="3"/>
        <v>NULL</v>
      </c>
    </row>
    <row r="35" spans="1:19" ht="16.5" thickBot="1" x14ac:dyDescent="0.3">
      <c r="P35" s="20" t="s">
        <v>610</v>
      </c>
      <c r="R35" s="35">
        <f>SUM(R5:R14,R20:R23,R25:R32)</f>
        <v>17600138.389999997</v>
      </c>
      <c r="S35" s="35">
        <f>SUM(S5:S14,S20:S23,S25:S32,R42)</f>
        <v>25559048.858079534</v>
      </c>
    </row>
    <row r="36" spans="1:19" x14ac:dyDescent="0.25">
      <c r="O36" s="38" t="s">
        <v>597</v>
      </c>
    </row>
    <row r="37" spans="1:19" x14ac:dyDescent="0.25">
      <c r="O37" s="38" t="s">
        <v>598</v>
      </c>
      <c r="P37" s="40" t="s">
        <v>599</v>
      </c>
      <c r="Q37" s="39" t="s">
        <v>616</v>
      </c>
    </row>
    <row r="38" spans="1:19" x14ac:dyDescent="0.25">
      <c r="O38" t="s">
        <v>118</v>
      </c>
      <c r="P38" t="s">
        <v>119</v>
      </c>
      <c r="R38" s="92">
        <v>327890.03999999998</v>
      </c>
    </row>
    <row r="39" spans="1:19" x14ac:dyDescent="0.25">
      <c r="O39" t="s">
        <v>139</v>
      </c>
      <c r="P39" t="s">
        <v>140</v>
      </c>
      <c r="R39" s="92" t="s">
        <v>298</v>
      </c>
    </row>
    <row r="40" spans="1:19" x14ac:dyDescent="0.25">
      <c r="O40" t="s">
        <v>151</v>
      </c>
      <c r="P40" t="s">
        <v>152</v>
      </c>
      <c r="R40" s="92" t="s">
        <v>298</v>
      </c>
    </row>
    <row r="41" spans="1:19" x14ac:dyDescent="0.25">
      <c r="O41" t="s">
        <v>155</v>
      </c>
      <c r="P41" t="s">
        <v>156</v>
      </c>
      <c r="R41" s="92">
        <v>43612.79</v>
      </c>
    </row>
    <row r="42" spans="1:19" x14ac:dyDescent="0.25">
      <c r="P42" s="91" t="s">
        <v>608</v>
      </c>
      <c r="R42" s="92">
        <f>SUM(R38:R41)</f>
        <v>371502.82999999996</v>
      </c>
    </row>
    <row r="43" spans="1:19" x14ac:dyDescent="0.25">
      <c r="P43" s="91" t="s">
        <v>605</v>
      </c>
      <c r="R43" s="92">
        <f>SUM(R42,R35)</f>
        <v>17971641.219999995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zoomScale="70" zoomScaleNormal="70" workbookViewId="0">
      <selection activeCell="G20" sqref="G20:G21"/>
    </sheetView>
  </sheetViews>
  <sheetFormatPr defaultRowHeight="15" x14ac:dyDescent="0.25"/>
  <cols>
    <col min="1" max="1" width="8.28515625" customWidth="1"/>
    <col min="2" max="2" width="35.85546875" bestFit="1" customWidth="1"/>
    <col min="3" max="3" width="22.140625" bestFit="1" customWidth="1"/>
    <col min="4" max="4" width="8.28515625" bestFit="1" customWidth="1"/>
    <col min="5" max="5" width="8.85546875" bestFit="1" customWidth="1"/>
    <col min="6" max="6" width="8.7109375" bestFit="1" customWidth="1"/>
    <col min="7" max="7" width="8.5703125" bestFit="1" customWidth="1"/>
    <col min="8" max="8" width="8.140625" bestFit="1" customWidth="1"/>
    <col min="9" max="9" width="8.28515625" bestFit="1" customWidth="1"/>
    <col min="10" max="10" width="8.140625" bestFit="1" customWidth="1"/>
    <col min="11" max="11" width="8.5703125" bestFit="1" customWidth="1"/>
    <col min="12" max="12" width="8.140625" bestFit="1" customWidth="1"/>
    <col min="13" max="14" width="8.28515625" bestFit="1" customWidth="1"/>
    <col min="15" max="15" width="9.28515625" customWidth="1"/>
    <col min="16" max="16" width="10.140625" customWidth="1"/>
    <col min="17" max="17" width="16.42578125" bestFit="1" customWidth="1"/>
    <col min="18" max="18" width="19.28515625" bestFit="1" customWidth="1"/>
    <col min="19" max="19" width="22.7109375" bestFit="1" customWidth="1"/>
    <col min="20" max="20" width="11.140625" bestFit="1" customWidth="1"/>
  </cols>
  <sheetData>
    <row r="1" spans="1:19" ht="24.75" customHeight="1" thickBot="1" x14ac:dyDescent="0.3">
      <c r="A1" s="101" t="s">
        <v>611</v>
      </c>
    </row>
    <row r="2" spans="1:19" ht="15.75" thickBot="1" x14ac:dyDescent="0.3">
      <c r="A2" s="6" t="s">
        <v>299</v>
      </c>
      <c r="B2" s="7" t="s">
        <v>300</v>
      </c>
      <c r="C2" s="8" t="s">
        <v>301</v>
      </c>
      <c r="D2" s="9">
        <v>40817</v>
      </c>
      <c r="E2" s="77">
        <v>40848</v>
      </c>
      <c r="F2" s="9">
        <v>40878</v>
      </c>
      <c r="G2" s="9">
        <v>40909</v>
      </c>
      <c r="H2" s="9">
        <v>40940</v>
      </c>
      <c r="I2" s="9">
        <v>40969</v>
      </c>
      <c r="J2" s="9">
        <v>41000</v>
      </c>
      <c r="K2" s="9">
        <v>41030</v>
      </c>
      <c r="L2" s="9">
        <v>41061</v>
      </c>
      <c r="M2" s="9">
        <v>41091</v>
      </c>
      <c r="N2" s="9">
        <v>41122</v>
      </c>
      <c r="O2" s="9">
        <v>41153</v>
      </c>
      <c r="P2" s="9" t="s">
        <v>109</v>
      </c>
      <c r="Q2" s="9" t="s">
        <v>636</v>
      </c>
      <c r="R2" s="9" t="s">
        <v>614</v>
      </c>
      <c r="S2" s="9" t="s">
        <v>615</v>
      </c>
    </row>
    <row r="3" spans="1:19" ht="15.75" thickBot="1" x14ac:dyDescent="0.3">
      <c r="C3" s="10" t="s">
        <v>302</v>
      </c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17" t="e">
        <f>AVERAGE(D3:O3)</f>
        <v>#DIV/0!</v>
      </c>
      <c r="Q3" s="11"/>
      <c r="R3" s="11"/>
      <c r="S3" s="11"/>
    </row>
    <row r="4" spans="1:19" ht="15.75" thickBot="1" x14ac:dyDescent="0.3">
      <c r="A4" s="12"/>
      <c r="B4" s="13"/>
      <c r="C4" s="14" t="s">
        <v>303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17" t="e">
        <f t="shared" ref="P4:P67" si="0">AVERAGE(D4:O4)</f>
        <v>#DIV/0!</v>
      </c>
      <c r="Q4" s="11"/>
      <c r="R4" s="11"/>
      <c r="S4" s="11"/>
    </row>
    <row r="5" spans="1:19" x14ac:dyDescent="0.25">
      <c r="A5" s="15" t="s">
        <v>285</v>
      </c>
      <c r="B5" s="16" t="s">
        <v>304</v>
      </c>
      <c r="C5" s="72" t="s">
        <v>305</v>
      </c>
      <c r="D5" s="179">
        <v>0.82706766917293228</v>
      </c>
      <c r="E5" s="180">
        <v>0.85276073619631898</v>
      </c>
      <c r="F5" s="187">
        <v>0.8271604938271605</v>
      </c>
      <c r="G5" s="188">
        <v>0.84023668639053251</v>
      </c>
      <c r="H5" s="188">
        <v>0.86419753086419748</v>
      </c>
      <c r="I5" s="188">
        <v>0.68200836820083677</v>
      </c>
      <c r="J5" s="188">
        <v>0.79</v>
      </c>
      <c r="K5" s="188">
        <v>0.95073891625615758</v>
      </c>
      <c r="L5" s="188">
        <v>0.98584905660377353</v>
      </c>
      <c r="M5" s="188">
        <v>0.97890295358649793</v>
      </c>
      <c r="N5" s="188">
        <v>1</v>
      </c>
      <c r="O5" s="188">
        <v>0.99685534591194969</v>
      </c>
      <c r="P5" s="17">
        <f t="shared" si="0"/>
        <v>0.88298147975086305</v>
      </c>
      <c r="Q5" s="11">
        <f>IF(P5&lt;0.8,0.8/P5,0)</f>
        <v>0</v>
      </c>
      <c r="R5" s="4">
        <v>204172.12</v>
      </c>
      <c r="S5" s="4">
        <f>IF(Q5&gt;0,R5*Q5,R5)</f>
        <v>204172.12</v>
      </c>
    </row>
    <row r="6" spans="1:19" x14ac:dyDescent="0.25">
      <c r="A6" s="15" t="s">
        <v>291</v>
      </c>
      <c r="B6" s="16" t="s">
        <v>306</v>
      </c>
      <c r="C6" s="72" t="s">
        <v>307</v>
      </c>
      <c r="D6" s="178">
        <v>0.83673469387755106</v>
      </c>
      <c r="E6" s="181">
        <v>0.65853658536585369</v>
      </c>
      <c r="F6" s="189">
        <v>0.96666666666666667</v>
      </c>
      <c r="G6" s="138">
        <v>0.79629629629629628</v>
      </c>
      <c r="H6" s="138">
        <v>0.69491525423728817</v>
      </c>
      <c r="I6" s="138">
        <v>0.74576271186440679</v>
      </c>
      <c r="J6" s="138">
        <v>0.60655737704918034</v>
      </c>
      <c r="K6" s="138">
        <v>0.60655737704918034</v>
      </c>
      <c r="L6" s="138">
        <v>0.72222222222222221</v>
      </c>
      <c r="M6" s="138">
        <v>0.80882352941176472</v>
      </c>
      <c r="N6" s="138">
        <v>0.8125</v>
      </c>
      <c r="O6" s="138">
        <v>0.69491525423728817</v>
      </c>
      <c r="P6" s="17">
        <f t="shared" si="0"/>
        <v>0.74587399735647475</v>
      </c>
      <c r="Q6" s="236">
        <f>IF(P6&lt;0.8,0.8/P6,0)</f>
        <v>1.0725672202481364</v>
      </c>
      <c r="R6" s="4">
        <v>563434.68999999994</v>
      </c>
      <c r="S6" s="4">
        <f t="shared" ref="S6:S47" si="1">IF(Q6&gt;0,R6*Q6,R6)</f>
        <v>604321.57924467046</v>
      </c>
    </row>
    <row r="7" spans="1:19" x14ac:dyDescent="0.25">
      <c r="A7" s="15" t="s">
        <v>219</v>
      </c>
      <c r="B7" s="16" t="s">
        <v>308</v>
      </c>
      <c r="C7" s="72" t="s">
        <v>309</v>
      </c>
      <c r="D7" s="176">
        <v>0.94285714285714284</v>
      </c>
      <c r="E7" s="182">
        <v>1</v>
      </c>
      <c r="F7" s="191">
        <v>1</v>
      </c>
      <c r="G7" s="191">
        <v>1</v>
      </c>
      <c r="H7" s="191">
        <v>0.97222222222222221</v>
      </c>
      <c r="I7" s="191">
        <v>0.97058823529411764</v>
      </c>
      <c r="J7" s="191">
        <v>1</v>
      </c>
      <c r="K7" s="191">
        <v>1</v>
      </c>
      <c r="L7" s="191">
        <v>0.97435897435897434</v>
      </c>
      <c r="M7" s="191">
        <v>0.97368421052631582</v>
      </c>
      <c r="N7" s="191">
        <v>1</v>
      </c>
      <c r="O7" s="191">
        <v>0.94871794871794868</v>
      </c>
      <c r="P7" s="17">
        <f t="shared" si="0"/>
        <v>0.98186906116472672</v>
      </c>
      <c r="Q7" s="236">
        <f>IF(P7&lt;0.8,0.8/P7,0)</f>
        <v>0</v>
      </c>
      <c r="R7" s="4">
        <v>367942.26</v>
      </c>
      <c r="S7" s="4">
        <f t="shared" si="1"/>
        <v>367942.26</v>
      </c>
    </row>
    <row r="8" spans="1:19" x14ac:dyDescent="0.25">
      <c r="A8" s="15" t="s">
        <v>221</v>
      </c>
      <c r="B8" s="16" t="s">
        <v>310</v>
      </c>
      <c r="C8" s="72" t="s">
        <v>311</v>
      </c>
      <c r="D8" s="174">
        <v>0.94545454545454544</v>
      </c>
      <c r="E8" s="182">
        <v>0.89583333333333337</v>
      </c>
      <c r="F8" s="189">
        <v>0.95454545454545459</v>
      </c>
      <c r="G8" s="138">
        <v>0.97499999999999998</v>
      </c>
      <c r="H8" s="138">
        <v>0.97959183673469385</v>
      </c>
      <c r="I8" s="138">
        <v>0.96153846153846156</v>
      </c>
      <c r="J8" s="138">
        <v>0.95238095238095233</v>
      </c>
      <c r="K8" s="138">
        <v>1</v>
      </c>
      <c r="L8" s="138">
        <v>0.92</v>
      </c>
      <c r="M8" s="138">
        <v>3.3333333333333333E-2</v>
      </c>
      <c r="N8" s="138">
        <v>0.93258426966292129</v>
      </c>
      <c r="O8" s="138">
        <v>1</v>
      </c>
      <c r="P8" s="17">
        <f t="shared" si="0"/>
        <v>0.87918851558197464</v>
      </c>
      <c r="Q8" s="236">
        <f t="shared" ref="Q8:Q71" si="2">IF(P8&lt;0.8,0.8/P8,0)</f>
        <v>0</v>
      </c>
      <c r="R8" s="4">
        <v>376331.29</v>
      </c>
      <c r="S8" s="4">
        <f t="shared" si="1"/>
        <v>376331.29</v>
      </c>
    </row>
    <row r="9" spans="1:19" x14ac:dyDescent="0.25">
      <c r="A9" s="15" t="s">
        <v>239</v>
      </c>
      <c r="B9" s="16" t="s">
        <v>312</v>
      </c>
      <c r="C9" s="72" t="s">
        <v>313</v>
      </c>
      <c r="D9" s="175">
        <v>0.87755102040816324</v>
      </c>
      <c r="E9" s="173">
        <v>0.92982456140350878</v>
      </c>
      <c r="F9" s="191">
        <v>0.94339622641509435</v>
      </c>
      <c r="G9" s="191">
        <v>0.9538461538461539</v>
      </c>
      <c r="H9" s="191">
        <v>0.9538461538461539</v>
      </c>
      <c r="I9" s="191">
        <v>1</v>
      </c>
      <c r="J9" s="191">
        <v>0.98333333333333328</v>
      </c>
      <c r="K9" s="191">
        <v>0.96</v>
      </c>
      <c r="L9" s="191">
        <v>0.98275862068965514</v>
      </c>
      <c r="M9" s="191">
        <v>0.93846153846153846</v>
      </c>
      <c r="N9" s="191">
        <v>0.9285714285714286</v>
      </c>
      <c r="O9" s="191">
        <v>0.96363636363636362</v>
      </c>
      <c r="P9" s="17">
        <f t="shared" si="0"/>
        <v>0.95126878338428289</v>
      </c>
      <c r="Q9" s="236">
        <f t="shared" si="2"/>
        <v>0</v>
      </c>
      <c r="R9" s="4">
        <v>182096.52</v>
      </c>
      <c r="S9" s="4">
        <f t="shared" si="1"/>
        <v>182096.52</v>
      </c>
    </row>
    <row r="10" spans="1:19" x14ac:dyDescent="0.25">
      <c r="A10" s="15" t="s">
        <v>209</v>
      </c>
      <c r="B10" s="16" t="s">
        <v>314</v>
      </c>
      <c r="C10" s="72" t="s">
        <v>315</v>
      </c>
      <c r="D10" s="175">
        <v>0.96470588235294119</v>
      </c>
      <c r="E10" s="183">
        <v>0.95333333333333337</v>
      </c>
      <c r="F10" s="189">
        <v>0.95238095238095233</v>
      </c>
      <c r="G10" s="138">
        <v>0.94690265486725667</v>
      </c>
      <c r="H10" s="138">
        <v>0.80909090909090908</v>
      </c>
      <c r="I10" s="138">
        <v>0.8771929824561403</v>
      </c>
      <c r="J10" s="138">
        <v>0.55882352941176472</v>
      </c>
      <c r="K10" s="138">
        <v>0.66666666666666663</v>
      </c>
      <c r="L10" s="138">
        <v>0.55660377358490565</v>
      </c>
      <c r="M10" s="138">
        <v>0.58653846153846156</v>
      </c>
      <c r="N10" s="138">
        <v>0.67647058823529416</v>
      </c>
      <c r="O10" s="138">
        <v>0.58260869565217388</v>
      </c>
      <c r="P10" s="17">
        <f t="shared" si="0"/>
        <v>0.76094320246423341</v>
      </c>
      <c r="Q10" s="236">
        <f t="shared" si="2"/>
        <v>1.0513268236174333</v>
      </c>
      <c r="R10" s="4">
        <v>1222102.83</v>
      </c>
      <c r="S10" s="4">
        <f t="shared" si="1"/>
        <v>1284829.4863977763</v>
      </c>
    </row>
    <row r="11" spans="1:19" x14ac:dyDescent="0.25">
      <c r="A11" s="15" t="s">
        <v>263</v>
      </c>
      <c r="B11" s="16" t="s">
        <v>316</v>
      </c>
      <c r="C11" s="72" t="s">
        <v>317</v>
      </c>
      <c r="D11" s="175">
        <v>0.96923076923076923</v>
      </c>
      <c r="E11" s="182">
        <v>0.98461538461538467</v>
      </c>
      <c r="F11" s="191">
        <v>0.90697674418604646</v>
      </c>
      <c r="G11" s="191">
        <v>0.9555555555555556</v>
      </c>
      <c r="H11" s="191">
        <v>0.96</v>
      </c>
      <c r="I11" s="191">
        <v>0.96363636363636362</v>
      </c>
      <c r="J11" s="191">
        <v>0.69354838709677424</v>
      </c>
      <c r="K11" s="191">
        <v>0.9555555555555556</v>
      </c>
      <c r="L11" s="191">
        <v>0.97727272727272729</v>
      </c>
      <c r="M11" s="191">
        <v>0.97368421052631582</v>
      </c>
      <c r="N11" s="191">
        <v>1</v>
      </c>
      <c r="O11" s="191">
        <v>1</v>
      </c>
      <c r="P11" s="17">
        <f t="shared" si="0"/>
        <v>0.94500630813962427</v>
      </c>
      <c r="Q11" s="236">
        <f t="shared" si="2"/>
        <v>0</v>
      </c>
      <c r="R11" s="4">
        <v>503571.64</v>
      </c>
      <c r="S11" s="4">
        <f t="shared" si="1"/>
        <v>503571.64</v>
      </c>
    </row>
    <row r="12" spans="1:19" x14ac:dyDescent="0.25">
      <c r="A12" s="15" t="s">
        <v>267</v>
      </c>
      <c r="B12" s="16" t="s">
        <v>318</v>
      </c>
      <c r="C12" s="72" t="s">
        <v>319</v>
      </c>
      <c r="D12" s="175">
        <v>0.93617021276595747</v>
      </c>
      <c r="E12" s="182">
        <v>0.9285714285714286</v>
      </c>
      <c r="F12" s="189">
        <v>0.98076923076923073</v>
      </c>
      <c r="G12" s="138">
        <v>0.9107142857142857</v>
      </c>
      <c r="H12" s="138">
        <v>0.93827160493827155</v>
      </c>
      <c r="I12" s="138">
        <v>0.95121951219512191</v>
      </c>
      <c r="J12" s="138">
        <v>0.95283018867924529</v>
      </c>
      <c r="K12" s="138">
        <v>0.94897959183673475</v>
      </c>
      <c r="L12" s="138">
        <v>0.96250000000000002</v>
      </c>
      <c r="M12" s="138">
        <v>0.9882352941176471</v>
      </c>
      <c r="N12" s="138">
        <v>0.98648648648648651</v>
      </c>
      <c r="O12" s="138">
        <v>0.91666666666666663</v>
      </c>
      <c r="P12" s="17">
        <f t="shared" si="0"/>
        <v>0.95011787522842284</v>
      </c>
      <c r="Q12" s="236">
        <f t="shared" si="2"/>
        <v>0</v>
      </c>
      <c r="R12" s="4">
        <v>241451.27</v>
      </c>
      <c r="S12" s="4">
        <f t="shared" si="1"/>
        <v>241451.27</v>
      </c>
    </row>
    <row r="13" spans="1:19" x14ac:dyDescent="0.25">
      <c r="A13" s="15" t="s">
        <v>243</v>
      </c>
      <c r="B13" s="16" t="s">
        <v>320</v>
      </c>
      <c r="C13" s="72" t="s">
        <v>321</v>
      </c>
      <c r="D13" s="175">
        <v>1</v>
      </c>
      <c r="E13" s="182">
        <v>0.96923076923076923</v>
      </c>
      <c r="F13" s="191">
        <v>0.92718446601941751</v>
      </c>
      <c r="G13" s="191">
        <v>0.95202020202020199</v>
      </c>
      <c r="H13" s="191">
        <v>0.96028037383177567</v>
      </c>
      <c r="I13" s="191">
        <v>0.95226730310262531</v>
      </c>
      <c r="J13" s="191">
        <v>0.95477386934673369</v>
      </c>
      <c r="K13" s="191">
        <v>0.95238095238095233</v>
      </c>
      <c r="L13" s="191">
        <v>0.9509803921568627</v>
      </c>
      <c r="M13" s="191">
        <v>0.95320197044334976</v>
      </c>
      <c r="N13" s="191">
        <v>0.95053763440860217</v>
      </c>
      <c r="O13" s="191">
        <v>0.95374449339207046</v>
      </c>
      <c r="P13" s="17">
        <f t="shared" si="0"/>
        <v>0.95638353552778022</v>
      </c>
      <c r="Q13" s="236">
        <f t="shared" si="2"/>
        <v>0</v>
      </c>
      <c r="R13" s="4">
        <v>1735174.59</v>
      </c>
      <c r="S13" s="4">
        <f t="shared" si="1"/>
        <v>1735174.59</v>
      </c>
    </row>
    <row r="14" spans="1:19" x14ac:dyDescent="0.25">
      <c r="A14" s="15" t="s">
        <v>245</v>
      </c>
      <c r="B14" s="16" t="s">
        <v>322</v>
      </c>
      <c r="C14" s="72" t="s">
        <v>323</v>
      </c>
      <c r="D14" s="175">
        <v>0.95370370370370372</v>
      </c>
      <c r="E14" s="182">
        <v>0.98124999999999996</v>
      </c>
      <c r="F14" s="189">
        <v>0.99354838709677418</v>
      </c>
      <c r="G14" s="138">
        <v>0.98425196850393704</v>
      </c>
      <c r="H14" s="138">
        <v>0.99259259259259258</v>
      </c>
      <c r="I14" s="138">
        <v>0.97872340425531912</v>
      </c>
      <c r="J14" s="138">
        <v>0.99264705882352944</v>
      </c>
      <c r="K14" s="138">
        <v>0.97872340425531912</v>
      </c>
      <c r="L14" s="138">
        <v>0.97037037037037033</v>
      </c>
      <c r="M14" s="138">
        <v>0.98550724637681164</v>
      </c>
      <c r="N14" s="138">
        <v>0.98639455782312924</v>
      </c>
      <c r="O14" s="138">
        <v>0.99275362318840576</v>
      </c>
      <c r="P14" s="17">
        <f t="shared" si="0"/>
        <v>0.98253885974915767</v>
      </c>
      <c r="Q14" s="236">
        <f t="shared" si="2"/>
        <v>0</v>
      </c>
      <c r="R14" s="4">
        <v>1679502.88</v>
      </c>
      <c r="S14" s="4">
        <f t="shared" si="1"/>
        <v>1679502.88</v>
      </c>
    </row>
    <row r="15" spans="1:19" x14ac:dyDescent="0.25">
      <c r="A15" s="15" t="s">
        <v>235</v>
      </c>
      <c r="B15" s="16" t="s">
        <v>324</v>
      </c>
      <c r="C15" s="72" t="s">
        <v>325</v>
      </c>
      <c r="D15" s="175">
        <v>0.84444444444444444</v>
      </c>
      <c r="E15" s="182">
        <v>0.83333333333333337</v>
      </c>
      <c r="F15" s="191">
        <v>0.97826086956521741</v>
      </c>
      <c r="G15" s="191">
        <v>0.95918367346938771</v>
      </c>
      <c r="H15" s="191">
        <v>0.97777777777777775</v>
      </c>
      <c r="I15" s="191">
        <v>0.92753623188405798</v>
      </c>
      <c r="J15" s="191">
        <v>0.93650793650793651</v>
      </c>
      <c r="K15" s="191">
        <v>0.93220338983050843</v>
      </c>
      <c r="L15" s="191">
        <v>0.88</v>
      </c>
      <c r="M15" s="191">
        <v>0.87272727272727268</v>
      </c>
      <c r="N15" s="191">
        <v>0.8666666666666667</v>
      </c>
      <c r="O15" s="191">
        <v>0.97916666666666663</v>
      </c>
      <c r="P15" s="17">
        <f t="shared" si="0"/>
        <v>0.91565068857277254</v>
      </c>
      <c r="Q15" s="236">
        <f t="shared" si="2"/>
        <v>0</v>
      </c>
      <c r="R15" s="4">
        <v>646375.36</v>
      </c>
      <c r="S15" s="4">
        <f t="shared" si="1"/>
        <v>646375.36</v>
      </c>
    </row>
    <row r="16" spans="1:19" ht="15.75" thickBot="1" x14ac:dyDescent="0.3">
      <c r="A16" s="15" t="s">
        <v>223</v>
      </c>
      <c r="B16" s="16" t="s">
        <v>326</v>
      </c>
      <c r="C16" s="72" t="s">
        <v>327</v>
      </c>
      <c r="D16" s="177">
        <v>0.96923076923076923</v>
      </c>
      <c r="E16" s="184">
        <v>0.94827586206896552</v>
      </c>
      <c r="F16" s="189">
        <v>0.94117647058823528</v>
      </c>
      <c r="G16" s="190">
        <v>0.91803278688524592</v>
      </c>
      <c r="H16" s="189">
        <v>0.95238095238095233</v>
      </c>
      <c r="I16" s="138">
        <v>0.94827586206896552</v>
      </c>
      <c r="J16" s="138">
        <v>0.95238095238095233</v>
      </c>
      <c r="K16" s="138">
        <v>0.95833333333333337</v>
      </c>
      <c r="L16" s="138">
        <v>0.86363636363636365</v>
      </c>
      <c r="M16" s="138">
        <v>0.94545454545454544</v>
      </c>
      <c r="N16" s="138">
        <v>0.75609756097560976</v>
      </c>
      <c r="O16" s="138">
        <v>0.83333333333333337</v>
      </c>
      <c r="P16" s="17">
        <f t="shared" si="0"/>
        <v>0.91555073269477261</v>
      </c>
      <c r="Q16" s="236">
        <f t="shared" si="2"/>
        <v>0</v>
      </c>
      <c r="R16" s="4">
        <v>839863.08</v>
      </c>
      <c r="S16" s="4">
        <f t="shared" si="1"/>
        <v>839863.08</v>
      </c>
    </row>
    <row r="17" spans="1:19" ht="16.5" thickTop="1" thickBot="1" x14ac:dyDescent="0.3">
      <c r="A17" s="15"/>
      <c r="B17" s="16"/>
      <c r="C17" s="14" t="s">
        <v>328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17" t="e">
        <f t="shared" si="0"/>
        <v>#DIV/0!</v>
      </c>
      <c r="Q17" s="236"/>
      <c r="R17" s="4"/>
      <c r="S17" s="11"/>
    </row>
    <row r="18" spans="1:19" x14ac:dyDescent="0.25">
      <c r="A18" s="15" t="s">
        <v>225</v>
      </c>
      <c r="B18" s="16" t="s">
        <v>329</v>
      </c>
      <c r="C18" s="74" t="s">
        <v>330</v>
      </c>
      <c r="D18" s="185">
        <v>1</v>
      </c>
      <c r="E18" s="181">
        <v>1</v>
      </c>
      <c r="F18" s="192">
        <v>1</v>
      </c>
      <c r="G18" s="192">
        <v>1</v>
      </c>
      <c r="H18" s="192">
        <v>1</v>
      </c>
      <c r="I18" s="192">
        <v>1</v>
      </c>
      <c r="J18" s="192">
        <v>0.93333333333333335</v>
      </c>
      <c r="K18" s="192">
        <v>0.76666666666666672</v>
      </c>
      <c r="L18" s="192">
        <v>0.83333333333333337</v>
      </c>
      <c r="M18" s="192">
        <v>0.9</v>
      </c>
      <c r="N18" s="192">
        <v>1</v>
      </c>
      <c r="O18" s="192">
        <v>0.95744680851063835</v>
      </c>
      <c r="P18" s="17">
        <f t="shared" si="0"/>
        <v>0.94923167848699774</v>
      </c>
      <c r="Q18" s="236">
        <f t="shared" si="2"/>
        <v>0</v>
      </c>
      <c r="R18" s="4">
        <v>181935.59</v>
      </c>
      <c r="S18" s="4">
        <f t="shared" si="1"/>
        <v>181935.59</v>
      </c>
    </row>
    <row r="19" spans="1:19" x14ac:dyDescent="0.25">
      <c r="A19" s="15" t="s">
        <v>251</v>
      </c>
      <c r="B19" s="16" t="s">
        <v>331</v>
      </c>
      <c r="C19" s="72" t="s">
        <v>332</v>
      </c>
      <c r="D19" s="174">
        <v>0.97297297297297303</v>
      </c>
      <c r="E19" s="182">
        <v>0.96551724137931039</v>
      </c>
      <c r="F19" s="189">
        <v>0.79</v>
      </c>
      <c r="G19" s="138">
        <v>0.95348837209302328</v>
      </c>
      <c r="H19" s="138">
        <v>0.92682926829268297</v>
      </c>
      <c r="I19" s="138">
        <v>0.92105263157894735</v>
      </c>
      <c r="J19" s="138">
        <v>0.88888888888888884</v>
      </c>
      <c r="K19" s="138">
        <v>0.80487804878048785</v>
      </c>
      <c r="L19" s="138">
        <v>0.95833333333333337</v>
      </c>
      <c r="M19" s="138">
        <v>0.93939393939393945</v>
      </c>
      <c r="N19" s="193">
        <v>0.92500000000000004</v>
      </c>
      <c r="O19" s="189">
        <v>0.94117647058823528</v>
      </c>
      <c r="P19" s="17">
        <f t="shared" si="0"/>
        <v>0.91562759727515186</v>
      </c>
      <c r="Q19" s="236">
        <f t="shared" si="2"/>
        <v>0</v>
      </c>
      <c r="R19" s="4">
        <v>326174.95</v>
      </c>
      <c r="S19" s="4">
        <f t="shared" si="1"/>
        <v>326174.95</v>
      </c>
    </row>
    <row r="20" spans="1:19" x14ac:dyDescent="0.25">
      <c r="A20" s="15" t="s">
        <v>181</v>
      </c>
      <c r="B20" s="16" t="s">
        <v>333</v>
      </c>
      <c r="C20" s="72" t="s">
        <v>334</v>
      </c>
      <c r="D20" s="175">
        <v>0.83333333333333337</v>
      </c>
      <c r="E20" s="182">
        <v>0.8</v>
      </c>
      <c r="F20" s="191">
        <v>0.97222222222222221</v>
      </c>
      <c r="G20" s="191">
        <v>1</v>
      </c>
      <c r="H20" s="191">
        <v>1</v>
      </c>
      <c r="I20" s="191">
        <v>1</v>
      </c>
      <c r="J20" s="191">
        <v>1</v>
      </c>
      <c r="K20" s="191">
        <v>0.51515151515151514</v>
      </c>
      <c r="L20" s="191">
        <v>0.7</v>
      </c>
      <c r="M20" s="191">
        <v>0.69230769230769229</v>
      </c>
      <c r="N20" s="191">
        <v>0.75</v>
      </c>
      <c r="O20" s="191">
        <v>0.76666666666666672</v>
      </c>
      <c r="P20" s="17">
        <f t="shared" si="0"/>
        <v>0.83580678580678602</v>
      </c>
      <c r="Q20" s="236">
        <f t="shared" si="2"/>
        <v>0</v>
      </c>
      <c r="R20" s="4">
        <v>355258.03</v>
      </c>
      <c r="S20" s="4">
        <f t="shared" si="1"/>
        <v>355258.03</v>
      </c>
    </row>
    <row r="21" spans="1:19" x14ac:dyDescent="0.25">
      <c r="A21" s="15" t="s">
        <v>253</v>
      </c>
      <c r="B21" s="16" t="s">
        <v>335</v>
      </c>
      <c r="C21" s="72" t="s">
        <v>336</v>
      </c>
      <c r="D21" s="175">
        <v>0.96832579185520362</v>
      </c>
      <c r="E21" s="182">
        <v>1</v>
      </c>
      <c r="F21" s="189">
        <v>3.3333333333333333E-2</v>
      </c>
      <c r="G21" s="138">
        <v>0.97159090909090906</v>
      </c>
      <c r="H21" s="138">
        <v>0.95973154362416102</v>
      </c>
      <c r="I21" s="138">
        <v>0.96178343949044587</v>
      </c>
      <c r="J21" s="138">
        <v>0.9606741573033708</v>
      </c>
      <c r="K21" s="138">
        <v>0.96153846153846156</v>
      </c>
      <c r="L21" s="138">
        <v>0.95566502463054193</v>
      </c>
      <c r="M21" s="138">
        <v>0.96391752577319589</v>
      </c>
      <c r="N21" s="138">
        <v>0.63917525773195871</v>
      </c>
      <c r="O21" s="138">
        <v>0.74033149171270718</v>
      </c>
      <c r="P21" s="17">
        <f t="shared" si="0"/>
        <v>0.84300557800702391</v>
      </c>
      <c r="Q21" s="236">
        <f t="shared" si="2"/>
        <v>0</v>
      </c>
      <c r="R21" s="4">
        <v>2229560.85</v>
      </c>
      <c r="S21" s="4">
        <f t="shared" si="1"/>
        <v>2229560.85</v>
      </c>
    </row>
    <row r="22" spans="1:19" x14ac:dyDescent="0.25">
      <c r="A22" s="15" t="s">
        <v>213</v>
      </c>
      <c r="B22" s="16" t="s">
        <v>337</v>
      </c>
      <c r="C22" s="72" t="s">
        <v>338</v>
      </c>
      <c r="D22" s="175">
        <v>0.74206349206349209</v>
      </c>
      <c r="E22" s="182">
        <v>0.65914786967418548</v>
      </c>
      <c r="F22" s="191">
        <v>0.67692307692307696</v>
      </c>
      <c r="G22" s="191">
        <v>0.69587628865979378</v>
      </c>
      <c r="H22" s="191">
        <v>0.70833333333333337</v>
      </c>
      <c r="I22" s="189">
        <v>0.67500000000000004</v>
      </c>
      <c r="J22" s="193">
        <v>0.70967741935483875</v>
      </c>
      <c r="K22" s="191">
        <v>0.70854271356783916</v>
      </c>
      <c r="L22" s="191">
        <v>0.74193548387096775</v>
      </c>
      <c r="M22" s="191">
        <v>0.74940334128878283</v>
      </c>
      <c r="N22" s="191">
        <v>0.84688995215311003</v>
      </c>
      <c r="O22" s="191">
        <v>0.75</v>
      </c>
      <c r="P22" s="17">
        <f t="shared" si="0"/>
        <v>0.7219827475741184</v>
      </c>
      <c r="Q22" s="236">
        <f t="shared" si="2"/>
        <v>1.1080597184462118</v>
      </c>
      <c r="R22" s="4">
        <v>4464052.62</v>
      </c>
      <c r="S22" s="4">
        <f t="shared" si="1"/>
        <v>4946436.8892462738</v>
      </c>
    </row>
    <row r="23" spans="1:19" x14ac:dyDescent="0.25">
      <c r="A23" s="15" t="s">
        <v>215</v>
      </c>
      <c r="B23" s="16" t="s">
        <v>339</v>
      </c>
      <c r="C23" s="72" t="s">
        <v>340</v>
      </c>
      <c r="D23" s="175">
        <v>0.86274509803921573</v>
      </c>
      <c r="E23" s="182">
        <v>0.78125</v>
      </c>
      <c r="F23" s="189">
        <v>0.78125</v>
      </c>
      <c r="G23" s="138">
        <v>0.91891891891891897</v>
      </c>
      <c r="H23" s="138">
        <v>0.67647058823529416</v>
      </c>
      <c r="I23" s="138">
        <v>0.7857142857142857</v>
      </c>
      <c r="J23" s="138">
        <v>0.75</v>
      </c>
      <c r="K23" s="138">
        <v>1</v>
      </c>
      <c r="L23" s="138">
        <v>0.81081081081081086</v>
      </c>
      <c r="M23" s="138">
        <v>0.91111111111111109</v>
      </c>
      <c r="N23" s="193">
        <v>0.95652173913043481</v>
      </c>
      <c r="O23" s="189">
        <v>0.92592592592592593</v>
      </c>
      <c r="P23" s="17">
        <f t="shared" si="0"/>
        <v>0.84672653982383306</v>
      </c>
      <c r="Q23" s="236">
        <f t="shared" si="2"/>
        <v>0</v>
      </c>
      <c r="R23" s="4">
        <v>194689.64</v>
      </c>
      <c r="S23" s="4">
        <f t="shared" si="1"/>
        <v>194689.64</v>
      </c>
    </row>
    <row r="24" spans="1:19" x14ac:dyDescent="0.25">
      <c r="A24" s="15" t="s">
        <v>293</v>
      </c>
      <c r="B24" s="16" t="s">
        <v>341</v>
      </c>
      <c r="C24" s="72" t="s">
        <v>342</v>
      </c>
      <c r="D24" s="175">
        <v>0.95049504950495045</v>
      </c>
      <c r="E24" s="182">
        <v>0.95138888888888884</v>
      </c>
      <c r="F24" s="191">
        <v>0.95070422535211263</v>
      </c>
      <c r="G24" s="191">
        <v>0.95041322314049592</v>
      </c>
      <c r="H24" s="191">
        <v>0.95454545454545459</v>
      </c>
      <c r="I24" s="191">
        <v>0.95081967213114749</v>
      </c>
      <c r="J24" s="191">
        <v>0.95121951219512191</v>
      </c>
      <c r="K24" s="191">
        <v>0.95035460992907805</v>
      </c>
      <c r="L24" s="191">
        <v>0.94776119402985071</v>
      </c>
      <c r="M24" s="191">
        <v>0.95683453237410077</v>
      </c>
      <c r="N24" s="191">
        <v>0.93430656934306566</v>
      </c>
      <c r="O24" s="191">
        <v>0.94160583941605835</v>
      </c>
      <c r="P24" s="17">
        <f t="shared" si="0"/>
        <v>0.94920406423752712</v>
      </c>
      <c r="Q24" s="236">
        <f t="shared" si="2"/>
        <v>0</v>
      </c>
      <c r="R24" s="4">
        <v>1023634.54</v>
      </c>
      <c r="S24" s="4">
        <f t="shared" si="1"/>
        <v>1023634.54</v>
      </c>
    </row>
    <row r="25" spans="1:19" x14ac:dyDescent="0.25">
      <c r="A25" s="15" t="s">
        <v>296</v>
      </c>
      <c r="B25" s="16" t="s">
        <v>343</v>
      </c>
      <c r="C25" s="72" t="s">
        <v>344</v>
      </c>
      <c r="D25" s="175">
        <v>0.75324675324675328</v>
      </c>
      <c r="E25" s="182">
        <v>0.67816091954022983</v>
      </c>
      <c r="F25" s="189">
        <v>0.67647058823529416</v>
      </c>
      <c r="G25" s="138">
        <v>0.58064516129032262</v>
      </c>
      <c r="H25" s="138">
        <v>0.77011494252873558</v>
      </c>
      <c r="I25" s="138">
        <v>1</v>
      </c>
      <c r="J25" s="138">
        <v>0.95890410958904104</v>
      </c>
      <c r="K25" s="138">
        <v>0.9538461538461539</v>
      </c>
      <c r="L25" s="138">
        <v>1</v>
      </c>
      <c r="M25" s="138">
        <v>0.86153846153846159</v>
      </c>
      <c r="N25" s="138">
        <v>0.91764705882352937</v>
      </c>
      <c r="O25" s="138">
        <v>1</v>
      </c>
      <c r="P25" s="17">
        <f t="shared" si="0"/>
        <v>0.84588117905321003</v>
      </c>
      <c r="Q25" s="236">
        <f t="shared" si="2"/>
        <v>0</v>
      </c>
      <c r="R25" s="4">
        <v>2513886.9500000002</v>
      </c>
      <c r="S25" s="4">
        <f t="shared" si="1"/>
        <v>2513886.9500000002</v>
      </c>
    </row>
    <row r="26" spans="1:19" x14ac:dyDescent="0.25">
      <c r="A26" s="15" t="s">
        <v>177</v>
      </c>
      <c r="B26" s="16" t="s">
        <v>345</v>
      </c>
      <c r="C26" s="72" t="s">
        <v>346</v>
      </c>
      <c r="D26" s="176">
        <v>0.89898989898989901</v>
      </c>
      <c r="E26" s="182">
        <v>0.92708333333333337</v>
      </c>
      <c r="F26" s="191">
        <v>0.92307692307692313</v>
      </c>
      <c r="G26" s="191">
        <v>1</v>
      </c>
      <c r="H26" s="191">
        <v>0.97894736842105268</v>
      </c>
      <c r="I26" s="191">
        <v>0.96666666666666667</v>
      </c>
      <c r="J26" s="191">
        <v>0.92913385826771655</v>
      </c>
      <c r="K26" s="189">
        <v>1</v>
      </c>
      <c r="L26" s="193">
        <v>1</v>
      </c>
      <c r="M26" s="191">
        <v>0.95714285714285718</v>
      </c>
      <c r="N26" s="191">
        <v>0.95744680851063835</v>
      </c>
      <c r="O26" s="191">
        <v>0.95918367346938771</v>
      </c>
      <c r="P26" s="17">
        <f t="shared" si="0"/>
        <v>0.95813928232320633</v>
      </c>
      <c r="Q26" s="236">
        <f t="shared" si="2"/>
        <v>0</v>
      </c>
      <c r="R26" s="4">
        <v>839547.27</v>
      </c>
      <c r="S26" s="4">
        <f t="shared" si="1"/>
        <v>839547.27</v>
      </c>
    </row>
    <row r="27" spans="1:19" x14ac:dyDescent="0.25">
      <c r="A27" s="15" t="s">
        <v>217</v>
      </c>
      <c r="B27" s="16" t="s">
        <v>347</v>
      </c>
      <c r="C27" s="72" t="s">
        <v>348</v>
      </c>
      <c r="D27" s="174">
        <v>1</v>
      </c>
      <c r="E27" s="182">
        <v>1</v>
      </c>
      <c r="F27" s="189">
        <v>1</v>
      </c>
      <c r="G27" s="138">
        <v>1</v>
      </c>
      <c r="H27" s="138">
        <v>1</v>
      </c>
      <c r="I27" s="138">
        <v>1</v>
      </c>
      <c r="J27" s="138">
        <v>1</v>
      </c>
      <c r="K27" s="138">
        <v>1</v>
      </c>
      <c r="L27" s="138">
        <v>1</v>
      </c>
      <c r="M27" s="138">
        <v>0.9538461538461539</v>
      </c>
      <c r="N27" s="138">
        <v>1</v>
      </c>
      <c r="O27" s="138">
        <v>0.97222222222222221</v>
      </c>
      <c r="P27" s="17">
        <f t="shared" si="0"/>
        <v>0.99383903133903129</v>
      </c>
      <c r="Q27" s="236">
        <f t="shared" si="2"/>
        <v>0</v>
      </c>
      <c r="R27" s="4">
        <v>801634.67</v>
      </c>
      <c r="S27" s="4">
        <f t="shared" si="1"/>
        <v>801634.67</v>
      </c>
    </row>
    <row r="28" spans="1:19" x14ac:dyDescent="0.25">
      <c r="A28" s="15" t="s">
        <v>273</v>
      </c>
      <c r="B28" s="16" t="s">
        <v>349</v>
      </c>
      <c r="C28" s="72" t="s">
        <v>350</v>
      </c>
      <c r="D28" s="175">
        <v>1</v>
      </c>
      <c r="E28" s="182">
        <v>1</v>
      </c>
      <c r="F28" s="191">
        <v>1</v>
      </c>
      <c r="G28" s="191">
        <v>0.97333333333333338</v>
      </c>
      <c r="H28" s="191">
        <v>1</v>
      </c>
      <c r="I28" s="191">
        <v>0.9821428571428571</v>
      </c>
      <c r="J28" s="191">
        <v>0.98</v>
      </c>
      <c r="K28" s="191">
        <v>0.95121951219512191</v>
      </c>
      <c r="L28" s="191">
        <v>0.9375</v>
      </c>
      <c r="M28" s="191">
        <v>0.94285714285714284</v>
      </c>
      <c r="N28" s="191">
        <v>0.88888888888888884</v>
      </c>
      <c r="O28" s="191">
        <v>0.79661016949152541</v>
      </c>
      <c r="P28" s="17">
        <f t="shared" si="0"/>
        <v>0.95437932532573921</v>
      </c>
      <c r="Q28" s="236">
        <f t="shared" si="2"/>
        <v>0</v>
      </c>
      <c r="R28" s="4">
        <v>712438.96</v>
      </c>
      <c r="S28" s="4">
        <f t="shared" si="1"/>
        <v>712438.96</v>
      </c>
    </row>
    <row r="29" spans="1:19" ht="15.75" thickBot="1" x14ac:dyDescent="0.3">
      <c r="A29" s="15" t="s">
        <v>187</v>
      </c>
      <c r="B29" s="16" t="s">
        <v>351</v>
      </c>
      <c r="C29" s="75" t="s">
        <v>352</v>
      </c>
      <c r="D29" s="177">
        <v>0.96296296296296291</v>
      </c>
      <c r="E29" s="184">
        <v>0.95</v>
      </c>
      <c r="F29" s="189">
        <v>0.96078431372549022</v>
      </c>
      <c r="G29" s="138">
        <v>0.92982456140350878</v>
      </c>
      <c r="H29" s="138">
        <v>0.97435897435897434</v>
      </c>
      <c r="I29" s="138">
        <v>0.83333333333333337</v>
      </c>
      <c r="J29" s="138">
        <v>0.8571428571428571</v>
      </c>
      <c r="K29" s="138">
        <v>0.95454545454545459</v>
      </c>
      <c r="L29" s="138">
        <v>0.98076923076923073</v>
      </c>
      <c r="M29" s="138">
        <v>0.97727272727272729</v>
      </c>
      <c r="N29" s="138">
        <v>0.97916666666666663</v>
      </c>
      <c r="O29" s="138">
        <v>1</v>
      </c>
      <c r="P29" s="17">
        <f t="shared" si="0"/>
        <v>0.94668009018176702</v>
      </c>
      <c r="Q29" s="236">
        <f t="shared" si="2"/>
        <v>0</v>
      </c>
      <c r="R29" s="4">
        <v>189573.69</v>
      </c>
      <c r="S29" s="4">
        <f t="shared" si="1"/>
        <v>189573.69</v>
      </c>
    </row>
    <row r="30" spans="1:19" ht="15.75" thickBot="1" x14ac:dyDescent="0.3">
      <c r="A30" s="15"/>
      <c r="B30" s="16"/>
      <c r="C30" s="14" t="s">
        <v>353</v>
      </c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17" t="e">
        <f t="shared" si="0"/>
        <v>#DIV/0!</v>
      </c>
      <c r="Q30" s="236"/>
      <c r="R30" s="4"/>
      <c r="S30" s="11"/>
    </row>
    <row r="31" spans="1:19" x14ac:dyDescent="0.25">
      <c r="A31" s="15" t="s">
        <v>255</v>
      </c>
      <c r="B31" s="16" t="s">
        <v>354</v>
      </c>
      <c r="C31" s="74" t="s">
        <v>355</v>
      </c>
      <c r="D31" s="175">
        <v>1</v>
      </c>
      <c r="E31" s="182">
        <v>0.86363636363636365</v>
      </c>
      <c r="F31" s="192">
        <v>0.93333333333333335</v>
      </c>
      <c r="G31" s="192">
        <v>0.83333333333333337</v>
      </c>
      <c r="H31" s="192">
        <v>0.93333333333333335</v>
      </c>
      <c r="I31" s="192">
        <v>0.93333333333333335</v>
      </c>
      <c r="J31" s="192">
        <v>0.91701244813278004</v>
      </c>
      <c r="K31" s="192">
        <v>1</v>
      </c>
      <c r="L31" s="192">
        <v>0.9494949494949495</v>
      </c>
      <c r="M31" s="192">
        <v>0.97307692307692306</v>
      </c>
      <c r="N31" s="192">
        <v>0.74733096085409256</v>
      </c>
      <c r="O31" s="192">
        <v>0.7303370786516854</v>
      </c>
      <c r="P31" s="17">
        <f t="shared" si="0"/>
        <v>0.9011851714316772</v>
      </c>
      <c r="Q31" s="236">
        <f t="shared" si="2"/>
        <v>0</v>
      </c>
      <c r="R31" s="4">
        <v>2001332.27</v>
      </c>
      <c r="S31" s="4">
        <f t="shared" si="1"/>
        <v>2001332.27</v>
      </c>
    </row>
    <row r="32" spans="1:19" ht="15.75" thickBot="1" x14ac:dyDescent="0.3">
      <c r="A32" s="15" t="s">
        <v>173</v>
      </c>
      <c r="B32" s="16" t="s">
        <v>356</v>
      </c>
      <c r="C32" s="75" t="s">
        <v>357</v>
      </c>
      <c r="D32" s="177">
        <v>0.88349514563106801</v>
      </c>
      <c r="E32" s="184">
        <v>0.9452054794520548</v>
      </c>
      <c r="F32" s="189">
        <v>0.9</v>
      </c>
      <c r="G32" s="138">
        <v>0.96078431372549022</v>
      </c>
      <c r="H32" s="138">
        <v>0.8666666666666667</v>
      </c>
      <c r="I32" s="138">
        <v>0.81818181818181823</v>
      </c>
      <c r="J32" s="138">
        <v>0.9</v>
      </c>
      <c r="K32" s="138">
        <v>0.86842105263157898</v>
      </c>
      <c r="L32" s="138">
        <v>0.82352941176470584</v>
      </c>
      <c r="M32" s="138">
        <v>0.875</v>
      </c>
      <c r="N32" s="138">
        <v>0.75</v>
      </c>
      <c r="O32" s="138">
        <v>0.76923076923076927</v>
      </c>
      <c r="P32" s="17">
        <f t="shared" si="0"/>
        <v>0.86337622144034609</v>
      </c>
      <c r="Q32" s="236">
        <f t="shared" si="2"/>
        <v>0</v>
      </c>
      <c r="R32" s="4">
        <v>224243.73</v>
      </c>
      <c r="S32" s="4">
        <f t="shared" si="1"/>
        <v>224243.73</v>
      </c>
    </row>
    <row r="33" spans="1:19" ht="15.75" thickBot="1" x14ac:dyDescent="0.3">
      <c r="A33" s="15"/>
      <c r="B33" s="16"/>
      <c r="C33" s="73" t="s">
        <v>358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17" t="e">
        <f t="shared" si="0"/>
        <v>#DIV/0!</v>
      </c>
      <c r="Q33" s="236"/>
      <c r="R33" s="4"/>
      <c r="S33" s="11"/>
    </row>
    <row r="34" spans="1:19" x14ac:dyDescent="0.25">
      <c r="A34" s="15" t="s">
        <v>257</v>
      </c>
      <c r="B34" s="16" t="s">
        <v>359</v>
      </c>
      <c r="C34" s="74" t="s">
        <v>360</v>
      </c>
      <c r="D34" s="175">
        <v>0.60606060606060608</v>
      </c>
      <c r="E34" s="182">
        <v>0.65853658536585369</v>
      </c>
      <c r="F34" s="192">
        <v>0.69230769230769229</v>
      </c>
      <c r="G34" s="192">
        <v>0.69767441860465118</v>
      </c>
      <c r="H34" s="192">
        <v>0.69444444444444442</v>
      </c>
      <c r="I34" s="192">
        <v>0.82499999999999996</v>
      </c>
      <c r="J34" s="192">
        <v>0.6</v>
      </c>
      <c r="K34" s="192">
        <v>0.48192771084337349</v>
      </c>
      <c r="L34" s="192">
        <v>0.82539682539682535</v>
      </c>
      <c r="M34" s="192">
        <v>0.90384615384615385</v>
      </c>
      <c r="N34" s="192">
        <v>0.88</v>
      </c>
      <c r="O34" s="192">
        <v>0.73333333333333328</v>
      </c>
      <c r="P34" s="17">
        <f t="shared" si="0"/>
        <v>0.7165439808502444</v>
      </c>
      <c r="Q34" s="236">
        <f t="shared" si="2"/>
        <v>1.116470197754962</v>
      </c>
      <c r="R34" s="4">
        <v>920292.56</v>
      </c>
      <c r="S34" s="4">
        <f t="shared" si="1"/>
        <v>1027479.2164556204</v>
      </c>
    </row>
    <row r="35" spans="1:19" x14ac:dyDescent="0.25">
      <c r="A35" s="15" t="s">
        <v>205</v>
      </c>
      <c r="B35" s="16" t="s">
        <v>361</v>
      </c>
      <c r="C35" s="72" t="s">
        <v>362</v>
      </c>
      <c r="D35" s="175">
        <v>0.9285714285714286</v>
      </c>
      <c r="E35" s="182">
        <v>1</v>
      </c>
      <c r="F35" s="189">
        <v>1</v>
      </c>
      <c r="G35" s="138">
        <v>1</v>
      </c>
      <c r="H35" s="138">
        <v>1</v>
      </c>
      <c r="I35" s="138">
        <v>1</v>
      </c>
      <c r="J35" s="138">
        <v>1</v>
      </c>
      <c r="K35" s="138">
        <v>0.97297297297297303</v>
      </c>
      <c r="L35" s="138">
        <v>1</v>
      </c>
      <c r="M35" s="138">
        <v>0.97368421052631582</v>
      </c>
      <c r="N35" s="138">
        <v>0.88636363636363635</v>
      </c>
      <c r="O35" s="138">
        <v>1</v>
      </c>
      <c r="P35" s="17">
        <f t="shared" si="0"/>
        <v>0.98013268736952952</v>
      </c>
      <c r="Q35" s="236">
        <f t="shared" si="2"/>
        <v>0</v>
      </c>
      <c r="R35" s="4">
        <v>431618.75</v>
      </c>
      <c r="S35" s="4">
        <f t="shared" si="1"/>
        <v>431618.75</v>
      </c>
    </row>
    <row r="36" spans="1:19" x14ac:dyDescent="0.25">
      <c r="A36" s="15" t="s">
        <v>247</v>
      </c>
      <c r="B36" s="16" t="s">
        <v>363</v>
      </c>
      <c r="C36" s="72" t="s">
        <v>364</v>
      </c>
      <c r="D36" s="175">
        <v>0.9152542372881356</v>
      </c>
      <c r="E36" s="182">
        <v>0.91666666666666663</v>
      </c>
      <c r="F36" s="191">
        <v>0.86567164179104472</v>
      </c>
      <c r="G36" s="191">
        <v>0.89189189189189189</v>
      </c>
      <c r="H36" s="191">
        <v>0.83333333333333337</v>
      </c>
      <c r="I36" s="191">
        <v>0.92</v>
      </c>
      <c r="J36" s="191">
        <v>1</v>
      </c>
      <c r="K36" s="191">
        <v>0.97499999999999998</v>
      </c>
      <c r="L36" s="191">
        <v>0.86567164179104472</v>
      </c>
      <c r="M36" s="191">
        <v>0.95</v>
      </c>
      <c r="N36" s="191">
        <v>0.95833333333333337</v>
      </c>
      <c r="O36" s="191">
        <v>1</v>
      </c>
      <c r="P36" s="17">
        <f t="shared" si="0"/>
        <v>0.92431856217462072</v>
      </c>
      <c r="Q36" s="236">
        <f t="shared" si="2"/>
        <v>0</v>
      </c>
      <c r="R36" s="4">
        <v>226515.26</v>
      </c>
      <c r="S36" s="4">
        <f t="shared" si="1"/>
        <v>226515.26</v>
      </c>
    </row>
    <row r="37" spans="1:19" x14ac:dyDescent="0.25">
      <c r="A37" s="15" t="s">
        <v>231</v>
      </c>
      <c r="B37" s="16" t="s">
        <v>365</v>
      </c>
      <c r="C37" s="72" t="s">
        <v>366</v>
      </c>
      <c r="D37" s="175">
        <v>0.84444444444444444</v>
      </c>
      <c r="E37" s="182">
        <v>0.9</v>
      </c>
      <c r="F37" s="189">
        <v>0.97916666666666663</v>
      </c>
      <c r="G37" s="138">
        <v>0.98076923076923073</v>
      </c>
      <c r="H37" s="138">
        <v>0.92156862745098034</v>
      </c>
      <c r="I37" s="138">
        <v>0.93333333333333335</v>
      </c>
      <c r="J37" s="138">
        <v>0.98412698412698407</v>
      </c>
      <c r="K37" s="138">
        <v>0.98333333333333328</v>
      </c>
      <c r="L37" s="138">
        <v>0.94827586206896552</v>
      </c>
      <c r="M37" s="138">
        <v>0.95454545454545459</v>
      </c>
      <c r="N37" s="138">
        <v>0.9285714285714286</v>
      </c>
      <c r="O37" s="138">
        <v>0.9538461538461539</v>
      </c>
      <c r="P37" s="17">
        <f t="shared" si="0"/>
        <v>0.94266512659641466</v>
      </c>
      <c r="Q37" s="236">
        <f t="shared" si="2"/>
        <v>0</v>
      </c>
      <c r="R37" s="4">
        <v>193652.23</v>
      </c>
      <c r="S37" s="4">
        <f t="shared" si="1"/>
        <v>193652.23</v>
      </c>
    </row>
    <row r="38" spans="1:19" ht="15.75" thickBot="1" x14ac:dyDescent="0.3">
      <c r="A38" s="15" t="s">
        <v>249</v>
      </c>
      <c r="B38" s="16" t="s">
        <v>367</v>
      </c>
      <c r="C38" s="72" t="s">
        <v>368</v>
      </c>
      <c r="D38" s="177">
        <v>0.93333333333333335</v>
      </c>
      <c r="E38" s="184">
        <v>0.96296296296296291</v>
      </c>
      <c r="F38" s="191">
        <v>0.97368421052631582</v>
      </c>
      <c r="G38" s="191">
        <v>0.98484848484848486</v>
      </c>
      <c r="H38" s="191">
        <v>0.97826086956521741</v>
      </c>
      <c r="I38" s="191">
        <v>0.97674418604651159</v>
      </c>
      <c r="J38" s="191">
        <v>0.97959183673469385</v>
      </c>
      <c r="K38" s="191">
        <v>0.97499999999999998</v>
      </c>
      <c r="L38" s="191">
        <v>0.984375</v>
      </c>
      <c r="M38" s="191">
        <v>0.97499999999999998</v>
      </c>
      <c r="N38" s="191">
        <v>0.98461538461538467</v>
      </c>
      <c r="O38" s="191">
        <v>0.97499999999999998</v>
      </c>
      <c r="P38" s="17">
        <f t="shared" si="0"/>
        <v>0.97361802238607531</v>
      </c>
      <c r="Q38" s="236">
        <f t="shared" si="2"/>
        <v>0</v>
      </c>
      <c r="R38" s="4">
        <v>272043.15000000002</v>
      </c>
      <c r="S38" s="4">
        <f t="shared" si="1"/>
        <v>272043.15000000002</v>
      </c>
    </row>
    <row r="39" spans="1:19" ht="16.5" thickTop="1" thickBot="1" x14ac:dyDescent="0.3">
      <c r="A39" s="15"/>
      <c r="B39" s="16"/>
      <c r="C39" s="73" t="s">
        <v>369</v>
      </c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17" t="e">
        <f t="shared" si="0"/>
        <v>#DIV/0!</v>
      </c>
      <c r="Q39" s="236"/>
      <c r="R39" s="4"/>
      <c r="S39" s="11"/>
    </row>
    <row r="40" spans="1:19" x14ac:dyDescent="0.25">
      <c r="A40" s="15" t="s">
        <v>281</v>
      </c>
      <c r="B40" s="16" t="s">
        <v>370</v>
      </c>
      <c r="C40" s="74" t="s">
        <v>371</v>
      </c>
      <c r="D40" s="175">
        <v>0.96666666666666667</v>
      </c>
      <c r="E40" s="182">
        <v>0.96666666666666667</v>
      </c>
      <c r="F40" s="187">
        <v>1</v>
      </c>
      <c r="G40" s="188">
        <v>0.96666666666666667</v>
      </c>
      <c r="H40" s="194">
        <v>0.75757575757575757</v>
      </c>
      <c r="I40" s="187">
        <v>0.77880184331797231</v>
      </c>
      <c r="J40" s="188">
        <v>0.91764705882352937</v>
      </c>
      <c r="K40" s="188">
        <v>0.81557377049180324</v>
      </c>
      <c r="L40" s="188">
        <v>0.80314960629921262</v>
      </c>
      <c r="M40" s="188">
        <v>0.69565217391304346</v>
      </c>
      <c r="N40" s="188">
        <v>0.84782608695652173</v>
      </c>
      <c r="O40" s="188">
        <v>0.70731707317073167</v>
      </c>
      <c r="P40" s="17">
        <f t="shared" si="0"/>
        <v>0.85196194754571442</v>
      </c>
      <c r="Q40" s="236">
        <f t="shared" si="2"/>
        <v>0</v>
      </c>
      <c r="R40" s="4">
        <v>237208.39</v>
      </c>
      <c r="S40" s="4">
        <f t="shared" si="1"/>
        <v>237208.39</v>
      </c>
    </row>
    <row r="41" spans="1:19" x14ac:dyDescent="0.25">
      <c r="A41" s="15" t="s">
        <v>275</v>
      </c>
      <c r="B41" s="16" t="s">
        <v>372</v>
      </c>
      <c r="C41" s="72" t="s">
        <v>373</v>
      </c>
      <c r="D41" s="175">
        <v>0.953125</v>
      </c>
      <c r="E41" s="182">
        <v>0.92207792207792205</v>
      </c>
      <c r="F41" s="191">
        <v>0.95575221238938057</v>
      </c>
      <c r="G41" s="191">
        <v>0.95726495726495731</v>
      </c>
      <c r="H41" s="191">
        <v>0.88461538461538458</v>
      </c>
      <c r="I41" s="191">
        <v>0.95652173913043481</v>
      </c>
      <c r="J41" s="191">
        <v>0.96638655462184875</v>
      </c>
      <c r="K41" s="191">
        <v>0.90196078431372551</v>
      </c>
      <c r="L41" s="191">
        <v>0.82183908045977017</v>
      </c>
      <c r="M41" s="191">
        <v>0.96174863387978138</v>
      </c>
      <c r="N41" s="191">
        <v>0.69911504424778759</v>
      </c>
      <c r="O41" s="191">
        <v>0.72868217054263562</v>
      </c>
      <c r="P41" s="17">
        <f t="shared" si="0"/>
        <v>0.89242412362863555</v>
      </c>
      <c r="Q41" s="236">
        <f t="shared" si="2"/>
        <v>0</v>
      </c>
      <c r="R41" s="4">
        <v>1526259.59</v>
      </c>
      <c r="S41" s="4">
        <f t="shared" si="1"/>
        <v>1526259.59</v>
      </c>
    </row>
    <row r="42" spans="1:19" x14ac:dyDescent="0.25">
      <c r="A42" s="15" t="s">
        <v>193</v>
      </c>
      <c r="B42" s="16" t="s">
        <v>374</v>
      </c>
      <c r="C42" s="72" t="s">
        <v>375</v>
      </c>
      <c r="D42" s="175">
        <v>1</v>
      </c>
      <c r="E42" s="182">
        <v>1</v>
      </c>
      <c r="F42" s="189">
        <v>0.94736842105263153</v>
      </c>
      <c r="G42" s="138">
        <v>1</v>
      </c>
      <c r="H42" s="138">
        <v>1</v>
      </c>
      <c r="I42" s="138">
        <v>0.97142857142857142</v>
      </c>
      <c r="J42" s="138">
        <v>1</v>
      </c>
      <c r="K42" s="138">
        <v>0.97058823529411764</v>
      </c>
      <c r="L42" s="138">
        <v>0.91428571428571426</v>
      </c>
      <c r="M42" s="138">
        <v>0.95</v>
      </c>
      <c r="N42" s="138">
        <v>0.89189189189189189</v>
      </c>
      <c r="O42" s="138">
        <v>0.90123456790123457</v>
      </c>
      <c r="P42" s="17">
        <f t="shared" si="0"/>
        <v>0.96223311682118007</v>
      </c>
      <c r="Q42" s="236">
        <f t="shared" si="2"/>
        <v>0</v>
      </c>
      <c r="R42" s="4">
        <v>263278.55</v>
      </c>
      <c r="S42" s="4">
        <f t="shared" si="1"/>
        <v>263278.55</v>
      </c>
    </row>
    <row r="43" spans="1:19" x14ac:dyDescent="0.25">
      <c r="A43" s="15" t="s">
        <v>211</v>
      </c>
      <c r="B43" s="16" t="s">
        <v>376</v>
      </c>
      <c r="C43" s="72" t="s">
        <v>377</v>
      </c>
      <c r="D43" s="175">
        <v>0.95</v>
      </c>
      <c r="E43" s="182">
        <v>0.97674418604651159</v>
      </c>
      <c r="F43" s="191">
        <v>0.97777777777777775</v>
      </c>
      <c r="G43" s="191">
        <v>0.97777777777777775</v>
      </c>
      <c r="H43" s="191">
        <v>0.97777777777777775</v>
      </c>
      <c r="I43" s="191">
        <v>0.97777777777777775</v>
      </c>
      <c r="J43" s="191">
        <v>0.9821428571428571</v>
      </c>
      <c r="K43" s="191">
        <v>0.98</v>
      </c>
      <c r="L43" s="191">
        <v>0.9555555555555556</v>
      </c>
      <c r="M43" s="191">
        <v>0.96491228070175439</v>
      </c>
      <c r="N43" s="191">
        <v>0.98076923076923073</v>
      </c>
      <c r="O43" s="191">
        <v>0.97560975609756095</v>
      </c>
      <c r="P43" s="17">
        <f t="shared" si="0"/>
        <v>0.97307041478538159</v>
      </c>
      <c r="Q43" s="236">
        <f t="shared" si="2"/>
        <v>0</v>
      </c>
      <c r="R43" s="4">
        <v>1815455.54</v>
      </c>
      <c r="S43" s="4">
        <f t="shared" si="1"/>
        <v>1815455.54</v>
      </c>
    </row>
    <row r="44" spans="1:19" x14ac:dyDescent="0.25">
      <c r="A44" s="15" t="s">
        <v>241</v>
      </c>
      <c r="B44" s="16" t="s">
        <v>378</v>
      </c>
      <c r="C44" s="72" t="s">
        <v>379</v>
      </c>
      <c r="D44" s="175">
        <v>0.97674418604651159</v>
      </c>
      <c r="E44" s="182">
        <v>0.92982456140350878</v>
      </c>
      <c r="F44" s="189">
        <v>0.97959183673469385</v>
      </c>
      <c r="G44" s="138">
        <v>0.92682926829268297</v>
      </c>
      <c r="H44" s="138">
        <v>0.90909090909090906</v>
      </c>
      <c r="I44" s="138">
        <v>3.3333333333333333E-2</v>
      </c>
      <c r="J44" s="138">
        <v>3.3333333333333333E-2</v>
      </c>
      <c r="K44" s="138">
        <v>3.3333333333333333E-2</v>
      </c>
      <c r="L44" s="138">
        <v>3.3333333333333333E-2</v>
      </c>
      <c r="M44" s="138">
        <v>3.3333333333333333E-2</v>
      </c>
      <c r="N44" s="138">
        <v>3.3333333333333333E-2</v>
      </c>
      <c r="O44" s="138">
        <v>0.640625</v>
      </c>
      <c r="P44" s="17">
        <f t="shared" si="0"/>
        <v>0.46355881346402544</v>
      </c>
      <c r="Q44" s="236">
        <f t="shared" si="2"/>
        <v>1.7257788586131244</v>
      </c>
      <c r="R44" s="4">
        <v>297164.59000000003</v>
      </c>
      <c r="S44" s="4">
        <f t="shared" si="1"/>
        <v>512840.36695043714</v>
      </c>
    </row>
    <row r="45" spans="1:19" x14ac:dyDescent="0.25">
      <c r="A45" s="15" t="s">
        <v>265</v>
      </c>
      <c r="B45" s="16" t="s">
        <v>380</v>
      </c>
      <c r="C45" s="72" t="s">
        <v>381</v>
      </c>
      <c r="D45" s="175">
        <v>0</v>
      </c>
      <c r="E45" s="182">
        <v>0.96666666666666667</v>
      </c>
      <c r="F45" s="191">
        <v>1</v>
      </c>
      <c r="G45" s="191">
        <v>1</v>
      </c>
      <c r="H45" s="191">
        <v>0.8666666666666667</v>
      </c>
      <c r="I45" s="191">
        <v>0.9</v>
      </c>
      <c r="J45" s="191">
        <v>0.94594594594594594</v>
      </c>
      <c r="K45" s="191">
        <v>0.93617021276595747</v>
      </c>
      <c r="L45" s="191">
        <v>0.95</v>
      </c>
      <c r="M45" s="191">
        <v>1</v>
      </c>
      <c r="N45" s="191">
        <v>0.97297297297297303</v>
      </c>
      <c r="O45" s="191">
        <v>1</v>
      </c>
      <c r="P45" s="17">
        <f t="shared" si="0"/>
        <v>0.87820187208485079</v>
      </c>
      <c r="Q45" s="236">
        <f t="shared" si="2"/>
        <v>0</v>
      </c>
      <c r="R45" s="4">
        <v>1122963.32</v>
      </c>
      <c r="S45" s="4">
        <f t="shared" si="1"/>
        <v>1122963.32</v>
      </c>
    </row>
    <row r="46" spans="1:19" x14ac:dyDescent="0.25">
      <c r="A46" s="15" t="s">
        <v>227</v>
      </c>
      <c r="B46" s="16" t="s">
        <v>382</v>
      </c>
      <c r="C46" s="72" t="s">
        <v>383</v>
      </c>
      <c r="D46" s="175">
        <v>0.98305084745762716</v>
      </c>
      <c r="E46" s="182">
        <v>0.96078431372549022</v>
      </c>
      <c r="F46" s="189">
        <v>0.98181818181818181</v>
      </c>
      <c r="G46" s="138">
        <v>1</v>
      </c>
      <c r="H46" s="138">
        <v>0.97297297297297303</v>
      </c>
      <c r="I46" s="138">
        <v>0.95238095238095233</v>
      </c>
      <c r="J46" s="138">
        <v>1</v>
      </c>
      <c r="K46" s="138">
        <v>0.95854922279792742</v>
      </c>
      <c r="L46" s="138">
        <v>0.89119170984455953</v>
      </c>
      <c r="M46" s="138">
        <v>0.96363636363636362</v>
      </c>
      <c r="N46" s="138">
        <v>0.96551724137931039</v>
      </c>
      <c r="O46" s="138">
        <v>0.96153846153846156</v>
      </c>
      <c r="P46" s="17">
        <f t="shared" si="0"/>
        <v>0.9659533556293205</v>
      </c>
      <c r="Q46" s="236">
        <f t="shared" si="2"/>
        <v>0</v>
      </c>
      <c r="R46" s="4">
        <v>1492117.82</v>
      </c>
      <c r="S46" s="4">
        <f t="shared" si="1"/>
        <v>1492117.82</v>
      </c>
    </row>
    <row r="47" spans="1:19" ht="15.75" thickBot="1" x14ac:dyDescent="0.3">
      <c r="A47" s="15" t="s">
        <v>229</v>
      </c>
      <c r="B47" s="16" t="s">
        <v>384</v>
      </c>
      <c r="C47" s="75" t="s">
        <v>385</v>
      </c>
      <c r="D47" s="177">
        <v>0.95316804407713496</v>
      </c>
      <c r="E47" s="184">
        <v>0.96078431372549022</v>
      </c>
      <c r="F47" s="191">
        <v>0.95701357466063353</v>
      </c>
      <c r="G47" s="191">
        <v>0.97350993377483441</v>
      </c>
      <c r="H47" s="191">
        <v>0.9511002444987775</v>
      </c>
      <c r="I47" s="191">
        <v>0.97053406998158376</v>
      </c>
      <c r="J47" s="191">
        <v>0.97142857142857142</v>
      </c>
      <c r="K47" s="191">
        <v>0.9765625</v>
      </c>
      <c r="L47" s="191">
        <v>0.97445255474452552</v>
      </c>
      <c r="M47" s="191">
        <v>0.97142857142857142</v>
      </c>
      <c r="N47" s="191">
        <v>0.962890625</v>
      </c>
      <c r="O47" s="191">
        <v>1</v>
      </c>
      <c r="P47" s="17">
        <f t="shared" si="0"/>
        <v>0.96857275027667689</v>
      </c>
      <c r="Q47" s="236">
        <f t="shared" si="2"/>
        <v>0</v>
      </c>
      <c r="R47" s="4">
        <v>4980739.47</v>
      </c>
      <c r="S47" s="4">
        <f t="shared" si="1"/>
        <v>4980739.47</v>
      </c>
    </row>
    <row r="48" spans="1:19" ht="15.75" thickBot="1" x14ac:dyDescent="0.3">
      <c r="A48" s="15"/>
      <c r="B48" s="16"/>
      <c r="C48" s="73" t="s">
        <v>386</v>
      </c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17" t="e">
        <f t="shared" si="0"/>
        <v>#DIV/0!</v>
      </c>
      <c r="Q48" s="236"/>
      <c r="R48" s="4"/>
      <c r="S48" s="11"/>
    </row>
    <row r="49" spans="1:19" x14ac:dyDescent="0.25">
      <c r="A49" s="15" t="s">
        <v>171</v>
      </c>
      <c r="B49" s="16" t="s">
        <v>387</v>
      </c>
      <c r="C49" s="74" t="s">
        <v>388</v>
      </c>
      <c r="D49" s="175">
        <v>1</v>
      </c>
      <c r="E49" s="182">
        <v>1</v>
      </c>
      <c r="F49" s="187">
        <v>0.84745762711864403</v>
      </c>
      <c r="G49" s="188">
        <v>0.76923076923076927</v>
      </c>
      <c r="H49" s="188">
        <v>0.77419354838709675</v>
      </c>
      <c r="I49" s="188">
        <v>0.8571428571428571</v>
      </c>
      <c r="J49" s="188">
        <v>0.80882352941176472</v>
      </c>
      <c r="K49" s="188">
        <v>1</v>
      </c>
      <c r="L49" s="188">
        <v>1</v>
      </c>
      <c r="M49" s="188">
        <v>1</v>
      </c>
      <c r="N49" s="188">
        <v>1</v>
      </c>
      <c r="O49" s="188">
        <v>0.80882352941176472</v>
      </c>
      <c r="P49" s="17">
        <f t="shared" si="0"/>
        <v>0.90547265505857466</v>
      </c>
      <c r="Q49" s="236">
        <f t="shared" si="2"/>
        <v>0</v>
      </c>
      <c r="R49" s="4">
        <v>263713.90000000002</v>
      </c>
      <c r="S49" s="4">
        <f>IF(Q49&gt;0,R49*Q49,R49)</f>
        <v>263713.90000000002</v>
      </c>
    </row>
    <row r="50" spans="1:19" ht="15.75" thickBot="1" x14ac:dyDescent="0.3">
      <c r="A50" s="15" t="s">
        <v>237</v>
      </c>
      <c r="B50" s="16" t="s">
        <v>389</v>
      </c>
      <c r="C50" s="75" t="s">
        <v>390</v>
      </c>
      <c r="D50" s="177">
        <v>1</v>
      </c>
      <c r="E50" s="184">
        <v>0.72499999999999998</v>
      </c>
      <c r="F50" s="191">
        <v>1</v>
      </c>
      <c r="G50" s="191">
        <v>1</v>
      </c>
      <c r="H50" s="191">
        <v>1</v>
      </c>
      <c r="I50" s="191">
        <v>1</v>
      </c>
      <c r="J50" s="189">
        <v>1</v>
      </c>
      <c r="K50" s="190">
        <v>1</v>
      </c>
      <c r="L50" s="191">
        <v>1</v>
      </c>
      <c r="M50" s="191">
        <v>0.92</v>
      </c>
      <c r="N50" s="191">
        <v>1</v>
      </c>
      <c r="O50" s="191">
        <v>1</v>
      </c>
      <c r="P50" s="17">
        <f t="shared" si="0"/>
        <v>0.97041666666666659</v>
      </c>
      <c r="Q50" s="236">
        <f t="shared" si="2"/>
        <v>0</v>
      </c>
      <c r="R50" s="4">
        <v>173846.37</v>
      </c>
      <c r="S50" s="4">
        <f>IF(Q50&gt;0,R50*Q50,R50)</f>
        <v>173846.37</v>
      </c>
    </row>
    <row r="51" spans="1:19" ht="15.75" thickBot="1" x14ac:dyDescent="0.3">
      <c r="A51" s="15"/>
      <c r="B51" s="16"/>
      <c r="C51" s="73" t="s">
        <v>391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17" t="e">
        <f t="shared" si="0"/>
        <v>#DIV/0!</v>
      </c>
      <c r="Q51" s="236"/>
      <c r="R51" s="4"/>
      <c r="S51" s="11"/>
    </row>
    <row r="52" spans="1:19" x14ac:dyDescent="0.25">
      <c r="A52" s="15" t="s">
        <v>169</v>
      </c>
      <c r="B52" s="16" t="s">
        <v>392</v>
      </c>
      <c r="C52" s="74" t="s">
        <v>393</v>
      </c>
      <c r="D52" s="175">
        <v>0.98571428571428577</v>
      </c>
      <c r="E52" s="173">
        <v>0.98571428571428577</v>
      </c>
      <c r="F52" s="187">
        <v>1</v>
      </c>
      <c r="G52" s="188">
        <v>1</v>
      </c>
      <c r="H52" s="188">
        <v>1</v>
      </c>
      <c r="I52" s="188">
        <v>0.46666666666666667</v>
      </c>
      <c r="J52" s="188">
        <v>0.43333333333333335</v>
      </c>
      <c r="K52" s="188">
        <v>0.6</v>
      </c>
      <c r="L52" s="188">
        <v>0.66666666666666663</v>
      </c>
      <c r="M52" s="188">
        <v>0.72972972972972971</v>
      </c>
      <c r="N52" s="188">
        <v>0.5714285714285714</v>
      </c>
      <c r="O52" s="188">
        <v>0.65909090909090906</v>
      </c>
      <c r="P52" s="17">
        <f t="shared" si="0"/>
        <v>0.75819537069537069</v>
      </c>
      <c r="Q52" s="236">
        <f t="shared" si="2"/>
        <v>1.0551370147067618</v>
      </c>
      <c r="R52" s="4">
        <v>761239.16</v>
      </c>
      <c r="S52" s="4">
        <f>IF(Q52&gt;0,R52*Q52,R52)</f>
        <v>803211.61476028303</v>
      </c>
    </row>
    <row r="53" spans="1:19" x14ac:dyDescent="0.25">
      <c r="A53" s="15" t="s">
        <v>201</v>
      </c>
      <c r="B53" s="16" t="s">
        <v>394</v>
      </c>
      <c r="C53" s="72" t="s">
        <v>395</v>
      </c>
      <c r="D53" s="175">
        <v>1</v>
      </c>
      <c r="E53" s="183">
        <v>1</v>
      </c>
      <c r="F53" s="191">
        <v>1</v>
      </c>
      <c r="G53" s="191">
        <v>1</v>
      </c>
      <c r="H53" s="191">
        <v>1</v>
      </c>
      <c r="I53" s="191">
        <v>1</v>
      </c>
      <c r="J53" s="191">
        <v>3.3333333333333333E-2</v>
      </c>
      <c r="K53" s="191">
        <v>1</v>
      </c>
      <c r="L53" s="191">
        <v>1</v>
      </c>
      <c r="M53" s="191">
        <v>0.81443298969072164</v>
      </c>
      <c r="N53" s="191">
        <v>0.73333333333333328</v>
      </c>
      <c r="O53" s="191">
        <v>0.63157894736842102</v>
      </c>
      <c r="P53" s="17">
        <f t="shared" si="0"/>
        <v>0.85105655031048411</v>
      </c>
      <c r="Q53" s="236">
        <f t="shared" si="2"/>
        <v>0</v>
      </c>
      <c r="R53" s="4">
        <v>342286.37</v>
      </c>
      <c r="S53" s="4">
        <f>IF(Q53&gt;0,R53*Q53,R53)</f>
        <v>342286.37</v>
      </c>
    </row>
    <row r="54" spans="1:19" x14ac:dyDescent="0.25">
      <c r="A54" s="15" t="s">
        <v>197</v>
      </c>
      <c r="B54" s="16" t="s">
        <v>396</v>
      </c>
      <c r="C54" s="72" t="s">
        <v>397</v>
      </c>
      <c r="D54" s="175">
        <v>0.9</v>
      </c>
      <c r="E54" s="173">
        <v>0.9</v>
      </c>
      <c r="F54" s="189">
        <v>1</v>
      </c>
      <c r="G54" s="138">
        <v>1</v>
      </c>
      <c r="H54" s="138">
        <v>1</v>
      </c>
      <c r="I54" s="138">
        <v>1</v>
      </c>
      <c r="J54" s="138">
        <v>1</v>
      </c>
      <c r="K54" s="138">
        <v>1</v>
      </c>
      <c r="L54" s="138">
        <v>1</v>
      </c>
      <c r="M54" s="138">
        <v>1</v>
      </c>
      <c r="N54" s="138">
        <v>1</v>
      </c>
      <c r="O54" s="138">
        <v>1</v>
      </c>
      <c r="P54" s="17">
        <f t="shared" si="0"/>
        <v>0.98333333333333339</v>
      </c>
      <c r="Q54" s="236">
        <f t="shared" si="2"/>
        <v>0</v>
      </c>
      <c r="R54" s="4">
        <v>777681.77</v>
      </c>
      <c r="S54" s="4">
        <f>IF(Q54&gt;0,R54*Q54,R54)</f>
        <v>777681.77</v>
      </c>
    </row>
    <row r="55" spans="1:19" x14ac:dyDescent="0.25">
      <c r="A55" s="15" t="s">
        <v>269</v>
      </c>
      <c r="B55" s="16" t="s">
        <v>398</v>
      </c>
      <c r="C55" s="72" t="s">
        <v>399</v>
      </c>
      <c r="D55" s="175">
        <v>1</v>
      </c>
      <c r="E55" s="183">
        <v>1</v>
      </c>
      <c r="F55" s="191">
        <v>0.96666666666666667</v>
      </c>
      <c r="G55" s="191">
        <v>0.8666666666666667</v>
      </c>
      <c r="H55" s="191">
        <v>0.7</v>
      </c>
      <c r="I55" s="191">
        <v>0.83333333333333337</v>
      </c>
      <c r="J55" s="191">
        <v>0.77272727272727271</v>
      </c>
      <c r="K55" s="191">
        <v>0.91666666666666663</v>
      </c>
      <c r="L55" s="191">
        <v>0.75</v>
      </c>
      <c r="M55" s="191">
        <v>0.98666666666666669</v>
      </c>
      <c r="N55" s="191">
        <v>0.97826086956521741</v>
      </c>
      <c r="O55" s="191">
        <v>0.83333333333333337</v>
      </c>
      <c r="P55" s="17">
        <f t="shared" si="0"/>
        <v>0.88369345630215201</v>
      </c>
      <c r="Q55" s="236">
        <f t="shared" si="2"/>
        <v>0</v>
      </c>
      <c r="R55" s="4">
        <v>1670884.63</v>
      </c>
      <c r="S55" s="4">
        <f>IF(Q55&gt;0,R55*Q55,R55)</f>
        <v>1670884.63</v>
      </c>
    </row>
    <row r="56" spans="1:19" ht="15.75" thickBot="1" x14ac:dyDescent="0.3">
      <c r="A56" s="15" t="s">
        <v>283</v>
      </c>
      <c r="B56" s="16" t="s">
        <v>400</v>
      </c>
      <c r="C56" s="75" t="s">
        <v>401</v>
      </c>
      <c r="D56" s="177">
        <v>0.95744680851063835</v>
      </c>
      <c r="E56" s="184">
        <v>0.95454545454545459</v>
      </c>
      <c r="F56" s="189">
        <v>0.94</v>
      </c>
      <c r="G56" s="138">
        <v>0.92982456140350878</v>
      </c>
      <c r="H56" s="138">
        <v>0.77192982456140347</v>
      </c>
      <c r="I56" s="138">
        <v>0.95890410958904104</v>
      </c>
      <c r="J56" s="138">
        <v>0.87012987012987009</v>
      </c>
      <c r="K56" s="138">
        <v>0.7</v>
      </c>
      <c r="L56" s="138">
        <v>0.87654320987654322</v>
      </c>
      <c r="M56" s="138">
        <v>0.875</v>
      </c>
      <c r="N56" s="138">
        <v>0.87</v>
      </c>
      <c r="O56" s="138">
        <v>0.89622641509433965</v>
      </c>
      <c r="P56" s="17">
        <f t="shared" si="0"/>
        <v>0.88337918780923319</v>
      </c>
      <c r="Q56" s="236">
        <f t="shared" si="2"/>
        <v>0</v>
      </c>
      <c r="R56" s="4">
        <v>168461.3</v>
      </c>
      <c r="S56" s="4">
        <f>IF(Q56&gt;0,R56*Q56,R56)</f>
        <v>168461.3</v>
      </c>
    </row>
    <row r="57" spans="1:19" ht="15.75" thickBot="1" x14ac:dyDescent="0.3">
      <c r="A57" s="15"/>
      <c r="B57" s="16"/>
      <c r="C57" s="73" t="s">
        <v>402</v>
      </c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17" t="e">
        <f t="shared" si="0"/>
        <v>#DIV/0!</v>
      </c>
      <c r="Q57" s="236"/>
      <c r="R57" s="4"/>
      <c r="S57" s="11"/>
    </row>
    <row r="58" spans="1:19" x14ac:dyDescent="0.25">
      <c r="A58" s="15" t="s">
        <v>185</v>
      </c>
      <c r="B58" s="16" t="s">
        <v>403</v>
      </c>
      <c r="C58" s="74" t="s">
        <v>404</v>
      </c>
      <c r="D58" s="175">
        <v>0.96666666666666667</v>
      </c>
      <c r="E58" s="182">
        <v>0.93333333333333335</v>
      </c>
      <c r="F58" s="192">
        <v>0.7</v>
      </c>
      <c r="G58" s="192">
        <v>0.93333333333333335</v>
      </c>
      <c r="H58" s="192">
        <v>0.96666666666666667</v>
      </c>
      <c r="I58" s="192">
        <v>0.96666666666666667</v>
      </c>
      <c r="J58" s="192">
        <v>0.93333333333333335</v>
      </c>
      <c r="K58" s="192">
        <v>1</v>
      </c>
      <c r="L58" s="192">
        <v>1</v>
      </c>
      <c r="M58" s="192">
        <v>1</v>
      </c>
      <c r="N58" s="192">
        <v>1</v>
      </c>
      <c r="O58" s="192">
        <v>0.83333333333333337</v>
      </c>
      <c r="P58" s="17">
        <f t="shared" si="0"/>
        <v>0.93611111111111123</v>
      </c>
      <c r="Q58" s="236">
        <f t="shared" si="2"/>
        <v>0</v>
      </c>
      <c r="R58" s="4">
        <v>490613.61</v>
      </c>
      <c r="S58" s="4">
        <f t="shared" ref="S58:S68" si="3">IF(Q58&gt;0,R58*Q58,R58)</f>
        <v>490613.61</v>
      </c>
    </row>
    <row r="59" spans="1:19" x14ac:dyDescent="0.25">
      <c r="A59" s="15" t="s">
        <v>277</v>
      </c>
      <c r="B59" s="16" t="s">
        <v>405</v>
      </c>
      <c r="C59" s="72" t="s">
        <v>406</v>
      </c>
      <c r="D59" s="175">
        <v>0.95890410958904104</v>
      </c>
      <c r="E59" s="173">
        <v>0.95945945945945943</v>
      </c>
      <c r="F59" s="189">
        <v>0.875</v>
      </c>
      <c r="G59" s="138">
        <v>0.97619047619047616</v>
      </c>
      <c r="H59" s="138">
        <v>0.98113207547169812</v>
      </c>
      <c r="I59" s="138">
        <v>0.95161290322580649</v>
      </c>
      <c r="J59" s="138">
        <v>0.90476190476190477</v>
      </c>
      <c r="K59" s="138">
        <v>0.86538461538461542</v>
      </c>
      <c r="L59" s="138">
        <v>0.87142857142857144</v>
      </c>
      <c r="M59" s="138">
        <v>0.8571428571428571</v>
      </c>
      <c r="N59" s="138">
        <v>0.87096774193548387</v>
      </c>
      <c r="O59" s="138">
        <v>0.96491228070175439</v>
      </c>
      <c r="P59" s="17">
        <f t="shared" si="0"/>
        <v>0.91974141627430583</v>
      </c>
      <c r="Q59" s="236">
        <f t="shared" si="2"/>
        <v>0</v>
      </c>
      <c r="R59" s="4">
        <v>2091283.75</v>
      </c>
      <c r="S59" s="4">
        <f t="shared" si="3"/>
        <v>2091283.75</v>
      </c>
    </row>
    <row r="60" spans="1:19" x14ac:dyDescent="0.25">
      <c r="A60" s="15" t="s">
        <v>207</v>
      </c>
      <c r="B60" s="16" t="s">
        <v>407</v>
      </c>
      <c r="C60" s="72" t="s">
        <v>408</v>
      </c>
      <c r="D60" s="175">
        <v>0.94565217391304346</v>
      </c>
      <c r="E60" s="183">
        <v>0.97101449275362317</v>
      </c>
      <c r="F60" s="189">
        <v>0.94805194805194803</v>
      </c>
      <c r="G60" s="193">
        <v>0.97701149425287359</v>
      </c>
      <c r="H60" s="191">
        <v>0.97674418604651159</v>
      </c>
      <c r="I60" s="191">
        <v>0.95180722891566261</v>
      </c>
      <c r="J60" s="191">
        <v>0.95833333333333337</v>
      </c>
      <c r="K60" s="191">
        <v>0.91044776119402981</v>
      </c>
      <c r="L60" s="191">
        <v>0.92222222222222228</v>
      </c>
      <c r="M60" s="191">
        <v>0.90243902439024393</v>
      </c>
      <c r="N60" s="191">
        <v>0.97619047619047616</v>
      </c>
      <c r="O60" s="191">
        <v>0.96250000000000002</v>
      </c>
      <c r="P60" s="17">
        <f t="shared" si="0"/>
        <v>0.95020119510533074</v>
      </c>
      <c r="Q60" s="236">
        <f t="shared" si="2"/>
        <v>0</v>
      </c>
      <c r="R60" s="4">
        <v>518245.25</v>
      </c>
      <c r="S60" s="4">
        <f t="shared" si="3"/>
        <v>518245.25</v>
      </c>
    </row>
    <row r="61" spans="1:19" x14ac:dyDescent="0.25">
      <c r="A61" s="15" t="s">
        <v>233</v>
      </c>
      <c r="B61" s="16" t="s">
        <v>409</v>
      </c>
      <c r="C61" s="72" t="s">
        <v>410</v>
      </c>
      <c r="D61" s="175">
        <v>0.96666666666666667</v>
      </c>
      <c r="E61" s="182">
        <v>3.3333333333333333E-2</v>
      </c>
      <c r="F61" s="189">
        <v>0.79032258064516125</v>
      </c>
      <c r="G61" s="138">
        <v>0.90123456790123457</v>
      </c>
      <c r="H61" s="138">
        <v>1</v>
      </c>
      <c r="I61" s="138">
        <v>1</v>
      </c>
      <c r="J61" s="138">
        <v>0.8970588235294118</v>
      </c>
      <c r="K61" s="138">
        <v>0.96202531645569622</v>
      </c>
      <c r="L61" s="138">
        <v>0.97333333333333338</v>
      </c>
      <c r="M61" s="138">
        <v>0.96491228070175439</v>
      </c>
      <c r="N61" s="138">
        <v>0.90625</v>
      </c>
      <c r="O61" s="138">
        <v>0.98412698412698407</v>
      </c>
      <c r="P61" s="17">
        <f t="shared" si="0"/>
        <v>0.86493865722446472</v>
      </c>
      <c r="Q61" s="236">
        <f t="shared" si="2"/>
        <v>0</v>
      </c>
      <c r="R61" s="4">
        <v>196314.01</v>
      </c>
      <c r="S61" s="4">
        <f t="shared" si="3"/>
        <v>196314.01</v>
      </c>
    </row>
    <row r="62" spans="1:19" x14ac:dyDescent="0.25">
      <c r="A62" s="15" t="s">
        <v>289</v>
      </c>
      <c r="B62" s="16" t="s">
        <v>411</v>
      </c>
      <c r="C62" s="72" t="s">
        <v>412</v>
      </c>
      <c r="D62" s="175">
        <v>0.78048780487804881</v>
      </c>
      <c r="E62" s="173">
        <v>0.40625</v>
      </c>
      <c r="F62" s="191">
        <v>0.87878787878787878</v>
      </c>
      <c r="G62" s="191">
        <v>1</v>
      </c>
      <c r="H62" s="191">
        <v>1</v>
      </c>
      <c r="I62" s="191">
        <v>0.95238095238095233</v>
      </c>
      <c r="J62" s="191">
        <v>0.8666666666666667</v>
      </c>
      <c r="K62" s="191">
        <v>0.97435897435897434</v>
      </c>
      <c r="L62" s="191">
        <v>0.90322580645161288</v>
      </c>
      <c r="M62" s="191">
        <v>0.91489361702127658</v>
      </c>
      <c r="N62" s="191">
        <v>0.91666666666666663</v>
      </c>
      <c r="O62" s="191">
        <v>0.85365853658536583</v>
      </c>
      <c r="P62" s="17">
        <f t="shared" si="0"/>
        <v>0.87061474198312017</v>
      </c>
      <c r="Q62" s="236">
        <f t="shared" si="2"/>
        <v>0</v>
      </c>
      <c r="R62" s="4">
        <v>745469.09</v>
      </c>
      <c r="S62" s="4">
        <f t="shared" si="3"/>
        <v>745469.09</v>
      </c>
    </row>
    <row r="63" spans="1:19" x14ac:dyDescent="0.25">
      <c r="A63" s="15" t="s">
        <v>271</v>
      </c>
      <c r="B63" s="16" t="s">
        <v>413</v>
      </c>
      <c r="C63" s="72" t="s">
        <v>414</v>
      </c>
      <c r="D63" s="175">
        <v>0.98019801980198018</v>
      </c>
      <c r="E63" s="183">
        <v>1</v>
      </c>
      <c r="F63" s="189">
        <v>1</v>
      </c>
      <c r="G63" s="138">
        <v>1</v>
      </c>
      <c r="H63" s="138">
        <v>1</v>
      </c>
      <c r="I63" s="138">
        <v>1</v>
      </c>
      <c r="J63" s="138">
        <v>1</v>
      </c>
      <c r="K63" s="138">
        <v>1</v>
      </c>
      <c r="L63" s="138">
        <v>1</v>
      </c>
      <c r="M63" s="138">
        <v>1</v>
      </c>
      <c r="N63" s="138">
        <v>0.98</v>
      </c>
      <c r="O63" s="138">
        <v>0.8928571428571429</v>
      </c>
      <c r="P63" s="17">
        <f t="shared" si="0"/>
        <v>0.98775459688826028</v>
      </c>
      <c r="Q63" s="236">
        <f t="shared" si="2"/>
        <v>0</v>
      </c>
      <c r="R63" s="4">
        <v>1697816.28</v>
      </c>
      <c r="S63" s="4">
        <f t="shared" si="3"/>
        <v>1697816.28</v>
      </c>
    </row>
    <row r="64" spans="1:19" x14ac:dyDescent="0.25">
      <c r="A64" s="15" t="s">
        <v>259</v>
      </c>
      <c r="B64" s="16" t="s">
        <v>415</v>
      </c>
      <c r="C64" s="72" t="s">
        <v>416</v>
      </c>
      <c r="D64" s="175">
        <v>0.921875</v>
      </c>
      <c r="E64" s="182">
        <v>0.88095238095238093</v>
      </c>
      <c r="F64" s="191">
        <v>0.91666666666666663</v>
      </c>
      <c r="G64" s="191">
        <v>0.96551724137931039</v>
      </c>
      <c r="H64" s="191">
        <v>0.97674418604651159</v>
      </c>
      <c r="I64" s="191">
        <v>0.97727272727272729</v>
      </c>
      <c r="J64" s="191">
        <v>0.97674418604651159</v>
      </c>
      <c r="K64" s="191">
        <v>0.97727272727272729</v>
      </c>
      <c r="L64" s="191">
        <v>0.97959183673469385</v>
      </c>
      <c r="M64" s="191">
        <v>0.97959183673469385</v>
      </c>
      <c r="N64" s="191">
        <v>0.91111111111111109</v>
      </c>
      <c r="O64" s="191">
        <v>1</v>
      </c>
      <c r="P64" s="17">
        <f t="shared" si="0"/>
        <v>0.95527832501811127</v>
      </c>
      <c r="Q64" s="236">
        <f t="shared" si="2"/>
        <v>0</v>
      </c>
      <c r="R64" s="4">
        <v>594116.86</v>
      </c>
      <c r="S64" s="4">
        <f t="shared" si="3"/>
        <v>594116.86</v>
      </c>
    </row>
    <row r="65" spans="1:19" x14ac:dyDescent="0.25">
      <c r="A65" s="15" t="s">
        <v>191</v>
      </c>
      <c r="B65" s="16" t="s">
        <v>417</v>
      </c>
      <c r="C65" s="72" t="s">
        <v>418</v>
      </c>
      <c r="D65" s="175">
        <v>0.94117647058823528</v>
      </c>
      <c r="E65" s="182">
        <v>0.82608695652173914</v>
      </c>
      <c r="F65" s="189">
        <v>0.71794871794871795</v>
      </c>
      <c r="G65" s="138">
        <v>0.88571428571428568</v>
      </c>
      <c r="H65" s="138">
        <v>0.91891891891891897</v>
      </c>
      <c r="I65" s="138">
        <v>0.86111111111111116</v>
      </c>
      <c r="J65" s="138">
        <v>0.94736842105263153</v>
      </c>
      <c r="K65" s="138">
        <v>0.97058823529411764</v>
      </c>
      <c r="L65" s="138">
        <v>0.97142857142857142</v>
      </c>
      <c r="M65" s="138">
        <v>0.92307692307692313</v>
      </c>
      <c r="N65" s="138">
        <v>0.82978723404255317</v>
      </c>
      <c r="O65" s="138">
        <v>0.83783783783783783</v>
      </c>
      <c r="P65" s="17">
        <f t="shared" si="0"/>
        <v>0.88592030696130386</v>
      </c>
      <c r="Q65" s="236">
        <f t="shared" si="2"/>
        <v>0</v>
      </c>
      <c r="R65" s="4">
        <v>997325.17</v>
      </c>
      <c r="S65" s="4">
        <f t="shared" si="3"/>
        <v>997325.17</v>
      </c>
    </row>
    <row r="66" spans="1:19" x14ac:dyDescent="0.25">
      <c r="A66" s="15" t="s">
        <v>189</v>
      </c>
      <c r="B66" s="16" t="s">
        <v>419</v>
      </c>
      <c r="C66" s="72" t="s">
        <v>420</v>
      </c>
      <c r="P66" s="17" t="e">
        <f t="shared" si="0"/>
        <v>#DIV/0!</v>
      </c>
      <c r="Q66" s="236"/>
      <c r="R66" s="4">
        <v>330.49</v>
      </c>
      <c r="S66" s="4"/>
    </row>
    <row r="67" spans="1:19" x14ac:dyDescent="0.25">
      <c r="A67" s="15" t="s">
        <v>261</v>
      </c>
      <c r="B67" s="16" t="s">
        <v>421</v>
      </c>
      <c r="C67" s="72" t="s">
        <v>422</v>
      </c>
      <c r="D67" s="175">
        <v>1</v>
      </c>
      <c r="E67" s="182">
        <v>1</v>
      </c>
      <c r="F67" s="191">
        <v>1</v>
      </c>
      <c r="G67" s="191">
        <v>1</v>
      </c>
      <c r="H67" s="191">
        <v>1</v>
      </c>
      <c r="I67" s="191">
        <v>1</v>
      </c>
      <c r="J67" s="191">
        <v>0.96666666666666667</v>
      </c>
      <c r="K67" s="191">
        <v>0.93333333333333335</v>
      </c>
      <c r="L67" s="191">
        <v>0.98571428571428577</v>
      </c>
      <c r="M67" s="191">
        <v>1</v>
      </c>
      <c r="N67" s="191">
        <v>0.9</v>
      </c>
      <c r="O67" s="191">
        <v>1</v>
      </c>
      <c r="P67" s="17">
        <f t="shared" si="0"/>
        <v>0.98214285714285721</v>
      </c>
      <c r="Q67" s="236">
        <f t="shared" si="2"/>
        <v>0</v>
      </c>
      <c r="R67" s="4">
        <v>1651755.5</v>
      </c>
      <c r="S67" s="4">
        <f t="shared" si="3"/>
        <v>1651755.5</v>
      </c>
    </row>
    <row r="68" spans="1:19" ht="15.75" thickBot="1" x14ac:dyDescent="0.3">
      <c r="A68" s="15" t="s">
        <v>287</v>
      </c>
      <c r="B68" s="16" t="s">
        <v>423</v>
      </c>
      <c r="C68" s="75" t="s">
        <v>424</v>
      </c>
      <c r="D68" s="177">
        <v>1</v>
      </c>
      <c r="E68" s="184">
        <v>0.96</v>
      </c>
      <c r="F68" s="189">
        <v>0.96</v>
      </c>
      <c r="G68" s="138">
        <v>1</v>
      </c>
      <c r="H68" s="138">
        <v>1</v>
      </c>
      <c r="I68" s="138">
        <v>1</v>
      </c>
      <c r="J68" s="138">
        <v>0.96</v>
      </c>
      <c r="K68" s="138">
        <v>0.98</v>
      </c>
      <c r="L68" s="138">
        <v>0.97</v>
      </c>
      <c r="M68" s="138">
        <v>0.97</v>
      </c>
      <c r="N68" s="138">
        <v>0.74570446735395191</v>
      </c>
      <c r="O68" s="138">
        <v>0.90041493775933612</v>
      </c>
      <c r="P68" s="17">
        <f>AVERAGE(D68:O68)</f>
        <v>0.95384328375944083</v>
      </c>
      <c r="Q68" s="236">
        <f t="shared" si="2"/>
        <v>0</v>
      </c>
      <c r="R68" s="4">
        <v>1855684.04</v>
      </c>
      <c r="S68" s="4">
        <f t="shared" si="3"/>
        <v>1855684.04</v>
      </c>
    </row>
    <row r="69" spans="1:19" ht="15.75" thickBot="1" x14ac:dyDescent="0.3">
      <c r="A69" s="15"/>
      <c r="B69" s="16"/>
      <c r="C69" s="73" t="s">
        <v>425</v>
      </c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17" t="e">
        <f t="shared" ref="P69:P87" si="4">AVERAGE(D69:O69)</f>
        <v>#DIV/0!</v>
      </c>
      <c r="Q69" s="236"/>
      <c r="R69" s="4"/>
      <c r="S69" s="11"/>
    </row>
    <row r="70" spans="1:19" x14ac:dyDescent="0.25">
      <c r="A70" s="15" t="s">
        <v>426</v>
      </c>
      <c r="B70" s="16" t="s">
        <v>427</v>
      </c>
      <c r="C70" s="74" t="s">
        <v>428</v>
      </c>
      <c r="D70" s="175">
        <v>0.73913043478260865</v>
      </c>
      <c r="E70" s="183">
        <v>0.69767441860465118</v>
      </c>
      <c r="F70" s="192">
        <v>0.82857142857142863</v>
      </c>
      <c r="G70" s="192">
        <v>0.7857142857142857</v>
      </c>
      <c r="H70" s="192">
        <v>0.75</v>
      </c>
      <c r="I70" s="192">
        <v>0.83333333333333337</v>
      </c>
      <c r="J70" s="192">
        <v>0.92682926829268297</v>
      </c>
      <c r="K70" s="192">
        <v>0.87096774193548387</v>
      </c>
      <c r="L70" s="192">
        <v>0.6</v>
      </c>
      <c r="M70" s="192">
        <v>0.66666666666666663</v>
      </c>
      <c r="N70" s="192">
        <v>0.5</v>
      </c>
      <c r="O70" s="192">
        <v>0.76666666666666672</v>
      </c>
      <c r="P70" s="17">
        <f t="shared" si="4"/>
        <v>0.74712952038065072</v>
      </c>
      <c r="Q70" s="236">
        <f t="shared" si="2"/>
        <v>1.0707648114244135</v>
      </c>
      <c r="R70" s="4"/>
      <c r="S70" s="4">
        <f t="shared" ref="S70:S78" si="5">IF(Q70&gt;0,R70*Q70,R70)</f>
        <v>0</v>
      </c>
    </row>
    <row r="71" spans="1:19" x14ac:dyDescent="0.25">
      <c r="A71" s="15" t="s">
        <v>203</v>
      </c>
      <c r="B71" s="16" t="s">
        <v>429</v>
      </c>
      <c r="C71" s="72" t="s">
        <v>430</v>
      </c>
      <c r="D71" s="175">
        <v>0.9</v>
      </c>
      <c r="E71" s="173">
        <v>0.93333333333333335</v>
      </c>
      <c r="F71" s="189">
        <v>0.93333333333333335</v>
      </c>
      <c r="G71" s="138">
        <v>1</v>
      </c>
      <c r="H71" s="138">
        <v>1</v>
      </c>
      <c r="I71" s="138">
        <v>1</v>
      </c>
      <c r="J71" s="138">
        <v>0.65217391304347827</v>
      </c>
      <c r="K71" s="138">
        <v>0.74468085106382975</v>
      </c>
      <c r="L71" s="138">
        <v>0.7142857142857143</v>
      </c>
      <c r="M71" s="138">
        <v>0.54347826086956519</v>
      </c>
      <c r="N71" s="138">
        <v>0.8571428571428571</v>
      </c>
      <c r="O71" s="138">
        <v>0.8571428571428571</v>
      </c>
      <c r="P71" s="17">
        <f t="shared" si="4"/>
        <v>0.84463092668458073</v>
      </c>
      <c r="Q71" s="236">
        <f t="shared" si="2"/>
        <v>0</v>
      </c>
      <c r="R71" s="4">
        <v>78946.97</v>
      </c>
      <c r="S71" s="4">
        <f t="shared" si="5"/>
        <v>78946.97</v>
      </c>
    </row>
    <row r="72" spans="1:19" x14ac:dyDescent="0.25">
      <c r="A72" s="15" t="s">
        <v>294</v>
      </c>
      <c r="B72" s="16" t="s">
        <v>431</v>
      </c>
      <c r="C72" s="72" t="s">
        <v>432</v>
      </c>
      <c r="D72" s="175">
        <v>0.85542168674698793</v>
      </c>
      <c r="E72" s="183">
        <v>0.93301435406698563</v>
      </c>
      <c r="F72" s="191">
        <v>0.81818181818181823</v>
      </c>
      <c r="G72" s="191">
        <v>0.93150684931506844</v>
      </c>
      <c r="H72" s="191">
        <v>0.9061032863849765</v>
      </c>
      <c r="I72" s="191">
        <v>0.91147540983606556</v>
      </c>
      <c r="J72" s="191">
        <v>0.86857142857142855</v>
      </c>
      <c r="K72" s="191">
        <v>0.94270833333333337</v>
      </c>
      <c r="L72" s="191">
        <v>1</v>
      </c>
      <c r="M72" s="191">
        <v>0.9296875</v>
      </c>
      <c r="N72" s="191">
        <v>0.95633187772925765</v>
      </c>
      <c r="O72" s="191">
        <v>0.85922330097087374</v>
      </c>
      <c r="P72" s="17">
        <f t="shared" si="4"/>
        <v>0.90935215376139944</v>
      </c>
      <c r="Q72" s="236">
        <f t="shared" ref="Q72:Q87" si="6">IF(P72&lt;0.8,0.8/P72,0)</f>
        <v>0</v>
      </c>
      <c r="R72" s="4">
        <v>3930839.28</v>
      </c>
      <c r="S72" s="4">
        <f t="shared" si="5"/>
        <v>3930839.28</v>
      </c>
    </row>
    <row r="73" spans="1:19" x14ac:dyDescent="0.25">
      <c r="A73" s="15" t="s">
        <v>195</v>
      </c>
      <c r="B73" s="16" t="s">
        <v>433</v>
      </c>
      <c r="C73" s="72" t="s">
        <v>434</v>
      </c>
      <c r="D73" s="175">
        <v>0.96103896103896103</v>
      </c>
      <c r="E73" s="182">
        <v>1</v>
      </c>
      <c r="F73" s="189">
        <v>0.96610169491525422</v>
      </c>
      <c r="G73" s="138">
        <v>0.98245614035087714</v>
      </c>
      <c r="H73" s="138">
        <v>0.9285714285714286</v>
      </c>
      <c r="I73" s="138">
        <v>0.9642857142857143</v>
      </c>
      <c r="J73" s="138">
        <v>0.98529411764705888</v>
      </c>
      <c r="K73" s="138">
        <v>0.93846153846153846</v>
      </c>
      <c r="L73" s="138">
        <v>1</v>
      </c>
      <c r="M73" s="138">
        <v>0.96721311475409832</v>
      </c>
      <c r="N73" s="138">
        <v>0.82258064516129037</v>
      </c>
      <c r="O73" s="138">
        <v>0.82758620689655171</v>
      </c>
      <c r="P73" s="17">
        <f t="shared" si="4"/>
        <v>0.94529913017356459</v>
      </c>
      <c r="Q73" s="236">
        <f t="shared" si="6"/>
        <v>0</v>
      </c>
      <c r="R73" s="4">
        <v>253608</v>
      </c>
      <c r="S73" s="4">
        <f t="shared" si="5"/>
        <v>253608</v>
      </c>
    </row>
    <row r="74" spans="1:19" x14ac:dyDescent="0.25">
      <c r="A74" s="15" t="s">
        <v>435</v>
      </c>
      <c r="B74" s="16" t="s">
        <v>436</v>
      </c>
      <c r="C74" s="72" t="s">
        <v>437</v>
      </c>
      <c r="D74" s="175">
        <v>4.0816326530612242E-2</v>
      </c>
      <c r="E74" s="182">
        <v>7.4999999999999997E-2</v>
      </c>
      <c r="F74" s="191">
        <v>7.3170731707317069E-2</v>
      </c>
      <c r="G74" s="191">
        <v>0.52272727272727271</v>
      </c>
      <c r="H74" s="191">
        <v>0.72093023255813948</v>
      </c>
      <c r="I74" s="191">
        <v>0.10869565217391304</v>
      </c>
      <c r="J74" s="191">
        <v>3.3333333333333333E-2</v>
      </c>
      <c r="K74" s="191">
        <v>6.6666666666666666E-2</v>
      </c>
      <c r="L74" s="191">
        <v>1.282051282051282E-2</v>
      </c>
      <c r="M74" s="191">
        <v>0</v>
      </c>
      <c r="N74" s="191">
        <v>0.24324324324324326</v>
      </c>
      <c r="O74" s="191">
        <v>1.4084507042253521E-2</v>
      </c>
      <c r="P74" s="17">
        <f t="shared" si="4"/>
        <v>0.15929070656693869</v>
      </c>
      <c r="Q74" s="236">
        <f t="shared" si="6"/>
        <v>5.0222641184896508</v>
      </c>
      <c r="R74" s="4"/>
      <c r="S74" s="4">
        <f t="shared" si="5"/>
        <v>0</v>
      </c>
    </row>
    <row r="75" spans="1:19" x14ac:dyDescent="0.25">
      <c r="A75" s="15" t="s">
        <v>438</v>
      </c>
      <c r="B75" s="16" t="s">
        <v>439</v>
      </c>
      <c r="C75" s="72" t="s">
        <v>440</v>
      </c>
      <c r="D75" s="175">
        <v>0</v>
      </c>
      <c r="E75" s="182">
        <v>1</v>
      </c>
      <c r="F75" s="189">
        <v>0.16666666666666666</v>
      </c>
      <c r="G75" s="138">
        <v>1</v>
      </c>
      <c r="H75" s="138">
        <v>1</v>
      </c>
      <c r="I75" s="138">
        <v>1</v>
      </c>
      <c r="J75" s="138">
        <v>1</v>
      </c>
      <c r="K75" s="138">
        <v>1</v>
      </c>
      <c r="L75" s="138">
        <v>1</v>
      </c>
      <c r="M75" s="138">
        <v>1</v>
      </c>
      <c r="N75" s="138">
        <v>1</v>
      </c>
      <c r="O75" s="138">
        <v>1</v>
      </c>
      <c r="P75" s="17">
        <f t="shared" si="4"/>
        <v>0.84722222222222232</v>
      </c>
      <c r="Q75" s="236">
        <f t="shared" si="6"/>
        <v>0</v>
      </c>
      <c r="R75" s="4"/>
      <c r="S75" s="4">
        <f t="shared" si="5"/>
        <v>0</v>
      </c>
    </row>
    <row r="76" spans="1:19" x14ac:dyDescent="0.25">
      <c r="A76" s="15" t="s">
        <v>441</v>
      </c>
      <c r="B76" s="16" t="s">
        <v>442</v>
      </c>
      <c r="C76" s="72" t="s">
        <v>443</v>
      </c>
      <c r="D76" s="176">
        <v>0.36666666666666664</v>
      </c>
      <c r="E76" s="182">
        <v>0.1</v>
      </c>
      <c r="F76" s="191">
        <v>0.7</v>
      </c>
      <c r="G76" s="191">
        <v>0.73333333333333328</v>
      </c>
      <c r="H76" s="191">
        <v>0.36666666666666664</v>
      </c>
      <c r="I76" s="191">
        <v>0.36666666666666664</v>
      </c>
      <c r="J76" s="191">
        <v>0.4</v>
      </c>
      <c r="K76" s="191">
        <v>0.46666666666666667</v>
      </c>
      <c r="L76" s="191">
        <v>0.46666666666666667</v>
      </c>
      <c r="M76" s="191">
        <v>0.6</v>
      </c>
      <c r="N76" s="191">
        <v>0.4</v>
      </c>
      <c r="O76" s="191">
        <v>0.5</v>
      </c>
      <c r="P76" s="17">
        <f t="shared" si="4"/>
        <v>0.45555555555555555</v>
      </c>
      <c r="Q76" s="236">
        <f t="shared" si="6"/>
        <v>1.75609756097561</v>
      </c>
      <c r="R76" s="4"/>
      <c r="S76" s="4">
        <f t="shared" si="5"/>
        <v>0</v>
      </c>
    </row>
    <row r="77" spans="1:19" x14ac:dyDescent="0.25">
      <c r="A77" s="15" t="s">
        <v>444</v>
      </c>
      <c r="B77" s="16" t="s">
        <v>445</v>
      </c>
      <c r="C77" s="72" t="s">
        <v>446</v>
      </c>
      <c r="D77" s="174">
        <v>0.96666666666666667</v>
      </c>
      <c r="E77" s="182">
        <v>1</v>
      </c>
      <c r="F77" s="189">
        <v>0.97142857142857142</v>
      </c>
      <c r="G77" s="138">
        <v>0.23333333333333334</v>
      </c>
      <c r="H77" s="138">
        <v>0.91428571428571426</v>
      </c>
      <c r="I77" s="138">
        <v>1</v>
      </c>
      <c r="J77" s="138">
        <v>0.42307692307692307</v>
      </c>
      <c r="K77" s="138">
        <v>0.15909090909090909</v>
      </c>
      <c r="L77" s="138">
        <v>0.55000000000000004</v>
      </c>
      <c r="M77" s="138">
        <v>0.60465116279069764</v>
      </c>
      <c r="N77" s="138">
        <v>0.78125</v>
      </c>
      <c r="O77" s="138">
        <v>0.6</v>
      </c>
      <c r="P77" s="17">
        <f t="shared" si="4"/>
        <v>0.68364860672273464</v>
      </c>
      <c r="Q77" s="236">
        <f t="shared" si="6"/>
        <v>1.1701918092615287</v>
      </c>
      <c r="R77" s="4"/>
      <c r="S77" s="4">
        <f t="shared" si="5"/>
        <v>0</v>
      </c>
    </row>
    <row r="78" spans="1:19" ht="15.75" thickBot="1" x14ac:dyDescent="0.3">
      <c r="A78" s="15" t="s">
        <v>447</v>
      </c>
      <c r="B78" s="16" t="s">
        <v>448</v>
      </c>
      <c r="C78" s="75" t="s">
        <v>449</v>
      </c>
      <c r="D78" s="177">
        <v>0.83333333333333337</v>
      </c>
      <c r="E78" s="184"/>
      <c r="F78" s="191">
        <v>0.76795580110497241</v>
      </c>
      <c r="G78" s="191">
        <v>0.82530120481927716</v>
      </c>
      <c r="H78" s="191">
        <v>0.88741721854304634</v>
      </c>
      <c r="I78" s="191">
        <v>0.92528735632183912</v>
      </c>
      <c r="J78" s="191">
        <v>0.93333333333333335</v>
      </c>
      <c r="K78" s="191">
        <v>0.96296296296296291</v>
      </c>
      <c r="L78" s="191">
        <v>0.94680851063829785</v>
      </c>
      <c r="M78" s="191">
        <v>0.95628415300546443</v>
      </c>
      <c r="N78" s="191">
        <v>0.95628415300546443</v>
      </c>
      <c r="O78" s="191">
        <v>0.95161290322580649</v>
      </c>
      <c r="P78" s="17">
        <f t="shared" si="4"/>
        <v>0.9042346300267089</v>
      </c>
      <c r="Q78" s="236">
        <f t="shared" si="6"/>
        <v>0</v>
      </c>
      <c r="R78" s="4"/>
      <c r="S78" s="4">
        <f t="shared" si="5"/>
        <v>0</v>
      </c>
    </row>
    <row r="79" spans="1:19" ht="15.75" thickBot="1" x14ac:dyDescent="0.3">
      <c r="A79" s="15"/>
      <c r="B79" s="16"/>
      <c r="C79" s="73" t="s">
        <v>450</v>
      </c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17" t="e">
        <f t="shared" si="4"/>
        <v>#DIV/0!</v>
      </c>
      <c r="Q79" s="236"/>
      <c r="R79" s="4"/>
      <c r="S79" s="11"/>
    </row>
    <row r="80" spans="1:19" ht="15.75" thickBot="1" x14ac:dyDescent="0.3">
      <c r="A80" s="15" t="s">
        <v>279</v>
      </c>
      <c r="B80" s="16" t="s">
        <v>451</v>
      </c>
      <c r="C80" s="76" t="s">
        <v>452</v>
      </c>
      <c r="D80" s="177">
        <v>0.89075630252100846</v>
      </c>
      <c r="E80" s="184">
        <v>0.93233082706766912</v>
      </c>
      <c r="F80" s="187">
        <v>0.81132075471698117</v>
      </c>
      <c r="G80" s="188">
        <v>0.73118279569892475</v>
      </c>
      <c r="H80" s="188">
        <v>0.60368663594470051</v>
      </c>
      <c r="I80" s="188">
        <v>0.67289719626168221</v>
      </c>
      <c r="J80" s="188">
        <v>0.66326530612244894</v>
      </c>
      <c r="K80" s="188">
        <v>0.72294372294372289</v>
      </c>
      <c r="L80" s="188">
        <v>0.72549019607843135</v>
      </c>
      <c r="M80" s="188">
        <v>0.7276785714285714</v>
      </c>
      <c r="N80" s="188">
        <v>0.5982142857142857</v>
      </c>
      <c r="O80" s="188">
        <v>0.69158878504672894</v>
      </c>
      <c r="P80" s="17">
        <f t="shared" si="4"/>
        <v>0.73094628162876296</v>
      </c>
      <c r="Q80" s="236">
        <f t="shared" si="6"/>
        <v>1.0944716733729942</v>
      </c>
      <c r="R80" s="4">
        <v>854566.48</v>
      </c>
      <c r="S80" s="4">
        <f>IF(Q80&gt;0,R80*Q80,R80)</f>
        <v>935298.80537406937</v>
      </c>
    </row>
    <row r="81" spans="1:19" ht="15.75" thickBot="1" x14ac:dyDescent="0.3">
      <c r="A81" s="15"/>
      <c r="B81" s="16"/>
      <c r="C81" s="73" t="s">
        <v>453</v>
      </c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17" t="e">
        <f t="shared" si="4"/>
        <v>#DIV/0!</v>
      </c>
      <c r="Q81" s="236"/>
      <c r="R81" s="4"/>
      <c r="S81" s="11"/>
    </row>
    <row r="82" spans="1:19" x14ac:dyDescent="0.25">
      <c r="A82" s="15" t="s">
        <v>454</v>
      </c>
      <c r="B82" s="16" t="s">
        <v>455</v>
      </c>
      <c r="C82" s="74" t="s">
        <v>456</v>
      </c>
      <c r="D82" s="175">
        <v>0.43333333333333335</v>
      </c>
      <c r="E82" s="182">
        <v>0.6</v>
      </c>
      <c r="F82" s="192">
        <v>0.8</v>
      </c>
      <c r="G82" s="192">
        <v>0.8</v>
      </c>
      <c r="H82" s="192">
        <v>0.8</v>
      </c>
      <c r="I82" s="192">
        <v>0.84375</v>
      </c>
      <c r="J82" s="192">
        <v>0.84375</v>
      </c>
      <c r="K82" s="192">
        <v>0.81818181818181823</v>
      </c>
      <c r="L82" s="192">
        <v>0.83333333333333337</v>
      </c>
      <c r="M82" s="192">
        <v>0.96666666666666667</v>
      </c>
      <c r="N82" s="192">
        <v>0.96666666666666667</v>
      </c>
      <c r="O82" s="192">
        <v>0.96666666666666667</v>
      </c>
      <c r="P82" s="17">
        <f t="shared" si="4"/>
        <v>0.80602904040404033</v>
      </c>
      <c r="Q82" s="236">
        <f t="shared" si="6"/>
        <v>0</v>
      </c>
      <c r="R82" s="4"/>
      <c r="S82" s="4">
        <f t="shared" ref="S82:S87" si="7">IF(Q82&gt;0,R82*Q82,R82)</f>
        <v>0</v>
      </c>
    </row>
    <row r="83" spans="1:19" x14ac:dyDescent="0.25">
      <c r="A83" s="15" t="s">
        <v>457</v>
      </c>
      <c r="B83" s="16" t="s">
        <v>458</v>
      </c>
      <c r="C83" s="72" t="s">
        <v>459</v>
      </c>
      <c r="D83" s="175">
        <v>0.26666666666666666</v>
      </c>
      <c r="E83" s="182">
        <v>0.43333333333333335</v>
      </c>
      <c r="F83" s="189">
        <v>0.43333333333333335</v>
      </c>
      <c r="G83" s="138">
        <v>0.56666666666666665</v>
      </c>
      <c r="H83" s="138">
        <v>0.53333333333333333</v>
      </c>
      <c r="I83" s="138">
        <v>0.56666666666666665</v>
      </c>
      <c r="J83" s="138">
        <v>0.56666666666666665</v>
      </c>
      <c r="K83" s="138">
        <v>0.8666666666666667</v>
      </c>
      <c r="L83" s="138">
        <v>0.5</v>
      </c>
      <c r="M83" s="138">
        <v>0.76666666666666672</v>
      </c>
      <c r="N83" s="138">
        <v>0.8666666666666667</v>
      </c>
      <c r="O83" s="138">
        <v>0.9</v>
      </c>
      <c r="P83" s="17">
        <f t="shared" si="4"/>
        <v>0.60555555555555551</v>
      </c>
      <c r="Q83" s="236">
        <f t="shared" si="6"/>
        <v>1.3211009174311927</v>
      </c>
      <c r="R83" s="4"/>
      <c r="S83" s="4">
        <f t="shared" si="7"/>
        <v>0</v>
      </c>
    </row>
    <row r="84" spans="1:19" x14ac:dyDescent="0.25">
      <c r="A84" s="15" t="s">
        <v>460</v>
      </c>
      <c r="B84" s="16" t="s">
        <v>461</v>
      </c>
      <c r="C84" s="72" t="s">
        <v>462</v>
      </c>
      <c r="D84" s="175">
        <v>0.9</v>
      </c>
      <c r="E84" s="182">
        <v>0.9</v>
      </c>
      <c r="F84" s="191">
        <v>0.96666666666666667</v>
      </c>
      <c r="G84" s="191">
        <v>0.8666666666666667</v>
      </c>
      <c r="H84" s="191">
        <v>0.76666666666666672</v>
      </c>
      <c r="I84" s="191">
        <v>0.9</v>
      </c>
      <c r="J84" s="191">
        <v>0.6333333333333333</v>
      </c>
      <c r="K84" s="191">
        <v>0.73333333333333328</v>
      </c>
      <c r="L84" s="191">
        <v>0.8</v>
      </c>
      <c r="M84" s="191">
        <v>0.83333333333333337</v>
      </c>
      <c r="N84" s="191">
        <v>0.54285714285714282</v>
      </c>
      <c r="O84" s="191">
        <v>0.8</v>
      </c>
      <c r="P84" s="17">
        <f t="shared" si="4"/>
        <v>0.80357142857142871</v>
      </c>
      <c r="Q84" s="236">
        <f t="shared" si="6"/>
        <v>0</v>
      </c>
      <c r="R84" s="4"/>
      <c r="S84" s="4">
        <f t="shared" si="7"/>
        <v>0</v>
      </c>
    </row>
    <row r="85" spans="1:19" x14ac:dyDescent="0.25">
      <c r="A85" s="15" t="s">
        <v>463</v>
      </c>
      <c r="B85" s="16" t="s">
        <v>464</v>
      </c>
      <c r="C85" s="72" t="s">
        <v>465</v>
      </c>
      <c r="D85" s="176">
        <v>1</v>
      </c>
      <c r="E85" s="182">
        <v>1</v>
      </c>
      <c r="F85" s="189">
        <v>1</v>
      </c>
      <c r="G85" s="138">
        <v>1</v>
      </c>
      <c r="H85" s="138">
        <v>1</v>
      </c>
      <c r="I85" s="138">
        <v>1</v>
      </c>
      <c r="J85" s="138">
        <v>0</v>
      </c>
      <c r="K85" s="138">
        <v>0</v>
      </c>
      <c r="L85" s="138">
        <v>3.3333333333333333E-2</v>
      </c>
      <c r="M85" s="138">
        <v>0</v>
      </c>
      <c r="N85" s="138">
        <v>0.82608695652173914</v>
      </c>
      <c r="O85" s="138">
        <v>0.30645161290322581</v>
      </c>
      <c r="P85" s="17">
        <f t="shared" si="4"/>
        <v>0.59715599189652491</v>
      </c>
      <c r="Q85" s="236">
        <f t="shared" si="6"/>
        <v>1.3396834509844857</v>
      </c>
      <c r="R85" s="4"/>
      <c r="S85" s="4">
        <f t="shared" si="7"/>
        <v>0</v>
      </c>
    </row>
    <row r="86" spans="1:19" x14ac:dyDescent="0.25">
      <c r="A86" s="15" t="s">
        <v>466</v>
      </c>
      <c r="B86" s="16" t="s">
        <v>467</v>
      </c>
      <c r="C86" s="72" t="s">
        <v>468</v>
      </c>
      <c r="D86" s="174">
        <v>0.63829787234042556</v>
      </c>
      <c r="E86" s="182">
        <v>0.71794871794871795</v>
      </c>
      <c r="F86" s="191">
        <v>0.82051282051282048</v>
      </c>
      <c r="G86" s="191">
        <v>0.6428571428571429</v>
      </c>
      <c r="H86" s="191">
        <v>0.63414634146341464</v>
      </c>
      <c r="I86" s="191">
        <v>0.65853658536585369</v>
      </c>
      <c r="J86" s="191">
        <v>0.63636363636363635</v>
      </c>
      <c r="K86" s="191">
        <v>0.58620689655172409</v>
      </c>
      <c r="L86" s="191">
        <v>0.63829787234042556</v>
      </c>
      <c r="M86" s="191">
        <v>0.71111111111111114</v>
      </c>
      <c r="N86" s="191">
        <v>0.43333333333333335</v>
      </c>
      <c r="O86" s="191">
        <v>0.17777777777777778</v>
      </c>
      <c r="P86" s="17">
        <f t="shared" si="4"/>
        <v>0.6079491756638653</v>
      </c>
      <c r="Q86" s="236">
        <f t="shared" si="6"/>
        <v>1.3158994732189908</v>
      </c>
      <c r="R86" s="4"/>
      <c r="S86" s="4">
        <f t="shared" si="7"/>
        <v>0</v>
      </c>
    </row>
    <row r="87" spans="1:19" ht="15.75" thickBot="1" x14ac:dyDescent="0.3">
      <c r="A87" s="18" t="s">
        <v>469</v>
      </c>
      <c r="B87" s="19" t="s">
        <v>470</v>
      </c>
      <c r="C87" s="75" t="s">
        <v>471</v>
      </c>
      <c r="D87" s="177">
        <v>0.42592592592592593</v>
      </c>
      <c r="E87" s="184">
        <v>0.23333333333333334</v>
      </c>
      <c r="F87" s="189">
        <v>0.2</v>
      </c>
      <c r="G87" s="138">
        <v>0.2</v>
      </c>
      <c r="H87" s="138">
        <v>0.6</v>
      </c>
      <c r="I87" s="138">
        <v>0.5</v>
      </c>
      <c r="J87" s="138">
        <v>0.5</v>
      </c>
      <c r="K87" s="138">
        <v>0.23076923076923078</v>
      </c>
      <c r="L87" s="138">
        <v>0.31578947368421051</v>
      </c>
      <c r="M87" s="138">
        <v>0.35064935064935066</v>
      </c>
      <c r="N87" s="138">
        <v>0.34375</v>
      </c>
      <c r="O87" s="138">
        <v>0.2982456140350877</v>
      </c>
      <c r="P87" s="17">
        <f t="shared" si="4"/>
        <v>0.34987191069976159</v>
      </c>
      <c r="Q87" s="236">
        <f t="shared" si="6"/>
        <v>2.2865510935129358</v>
      </c>
      <c r="R87" s="4"/>
      <c r="S87" s="4">
        <f t="shared" si="7"/>
        <v>0</v>
      </c>
    </row>
    <row r="88" spans="1:19" ht="15.75" x14ac:dyDescent="0.25">
      <c r="Q88" s="20" t="s">
        <v>610</v>
      </c>
      <c r="R88" s="21">
        <f>SUM(R3:R87)</f>
        <v>58514319.789999992</v>
      </c>
      <c r="S88" s="21">
        <f>SUM(S3:S87)</f>
        <v>59545554.328429125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C1" zoomScale="85" zoomScaleNormal="85" workbookViewId="0">
      <selection activeCell="E3" sqref="E3"/>
    </sheetView>
  </sheetViews>
  <sheetFormatPr defaultRowHeight="15" x14ac:dyDescent="0.25"/>
  <cols>
    <col min="2" max="2" width="33.5703125" customWidth="1"/>
    <col min="3" max="3" width="20" style="212" customWidth="1"/>
    <col min="17" max="17" width="12" customWidth="1"/>
    <col min="18" max="18" width="18.85546875" customWidth="1"/>
    <col min="19" max="19" width="15.140625" customWidth="1"/>
  </cols>
  <sheetData>
    <row r="1" spans="1:19" x14ac:dyDescent="0.25">
      <c r="A1" s="6" t="s">
        <v>299</v>
      </c>
      <c r="B1" s="7" t="s">
        <v>300</v>
      </c>
      <c r="C1" s="211" t="s">
        <v>301</v>
      </c>
      <c r="D1" s="9">
        <v>40817</v>
      </c>
      <c r="E1" s="77">
        <v>40848</v>
      </c>
      <c r="F1" s="9">
        <v>40878</v>
      </c>
      <c r="G1" s="9">
        <v>40909</v>
      </c>
      <c r="H1" s="9">
        <v>40940</v>
      </c>
      <c r="I1" s="9">
        <v>40969</v>
      </c>
      <c r="J1" s="9">
        <v>41000</v>
      </c>
      <c r="K1" s="9">
        <v>41030</v>
      </c>
      <c r="L1" s="9">
        <v>41061</v>
      </c>
      <c r="M1" s="9">
        <v>41091</v>
      </c>
      <c r="N1" s="9">
        <v>41122</v>
      </c>
      <c r="O1" s="9">
        <v>41153</v>
      </c>
      <c r="P1" s="9" t="s">
        <v>109</v>
      </c>
      <c r="Q1" s="9" t="s">
        <v>636</v>
      </c>
      <c r="R1" s="9" t="s">
        <v>614</v>
      </c>
      <c r="S1" s="9" t="s">
        <v>615</v>
      </c>
    </row>
    <row r="2" spans="1:19" ht="39" x14ac:dyDescent="0.25">
      <c r="A2" s="213" t="s">
        <v>126</v>
      </c>
      <c r="B2" s="214" t="s">
        <v>572</v>
      </c>
      <c r="C2" s="215" t="s">
        <v>619</v>
      </c>
      <c r="D2" s="125">
        <v>0.5</v>
      </c>
      <c r="E2" s="126">
        <v>0.66666666666666663</v>
      </c>
      <c r="F2" s="131">
        <v>0.6333333333333333</v>
      </c>
      <c r="G2" s="131">
        <v>0.5</v>
      </c>
      <c r="H2" s="131">
        <v>0.76666666666666672</v>
      </c>
      <c r="I2" s="131">
        <v>0.66666666666666663</v>
      </c>
      <c r="J2" s="131">
        <v>0.6333333333333333</v>
      </c>
      <c r="K2" s="131">
        <v>0.7</v>
      </c>
      <c r="L2" s="131">
        <v>0.6333333333333333</v>
      </c>
      <c r="M2" s="131">
        <v>0.36666666666666664</v>
      </c>
      <c r="N2" s="131">
        <v>0.33333333333333331</v>
      </c>
      <c r="O2" s="129">
        <v>0.26666666666666666</v>
      </c>
      <c r="P2" s="17">
        <f>AVERAGE(F2:O2)</f>
        <v>0.54999999999999993</v>
      </c>
      <c r="Q2" s="11">
        <f>IF(P2&lt;0.8,0.8/P2,0)</f>
        <v>1.4545454545454548</v>
      </c>
      <c r="R2" s="122">
        <v>5687607.96</v>
      </c>
      <c r="S2" s="4">
        <f>IF(Q2&gt;0,R2*Q2,R2)</f>
        <v>8272884.3054545466</v>
      </c>
    </row>
    <row r="3" spans="1:19" ht="39" x14ac:dyDescent="0.25">
      <c r="A3" s="213" t="s">
        <v>70</v>
      </c>
      <c r="B3" s="214"/>
      <c r="C3" s="215" t="s">
        <v>620</v>
      </c>
      <c r="D3" s="129">
        <v>0.87</v>
      </c>
      <c r="E3" s="130">
        <v>0.85</v>
      </c>
      <c r="F3" s="131">
        <v>0.82</v>
      </c>
      <c r="G3" s="131">
        <v>0.87</v>
      </c>
      <c r="H3" s="131">
        <v>0.83</v>
      </c>
      <c r="I3" s="131">
        <v>0.95</v>
      </c>
      <c r="J3" s="131">
        <v>0.95</v>
      </c>
      <c r="K3" s="131">
        <v>0.95</v>
      </c>
      <c r="L3" s="131">
        <v>0.88</v>
      </c>
      <c r="M3" s="131">
        <v>0.9</v>
      </c>
      <c r="N3" s="131">
        <v>0.94</v>
      </c>
      <c r="O3" s="210">
        <v>0.85</v>
      </c>
      <c r="P3" s="17">
        <f>AVERAGE(F3:O3)</f>
        <v>0.89399999999999991</v>
      </c>
      <c r="Q3" s="236">
        <f>IF(P3&lt;0.8,0.8/P3,0)</f>
        <v>0</v>
      </c>
      <c r="R3" s="119">
        <v>6324395.9800000004</v>
      </c>
      <c r="S3" s="4">
        <f>IF(Q3&gt;0,R3*Q3,R3)</f>
        <v>6324395.9800000004</v>
      </c>
    </row>
    <row r="4" spans="1:19" x14ac:dyDescent="0.25">
      <c r="A4" s="216"/>
      <c r="B4" s="217"/>
      <c r="C4" s="218"/>
      <c r="D4" s="186"/>
      <c r="E4" s="186"/>
      <c r="F4" s="187"/>
      <c r="G4" s="187"/>
      <c r="H4" s="191"/>
      <c r="I4" s="191"/>
      <c r="J4" s="191"/>
      <c r="K4" s="191"/>
      <c r="L4" s="191"/>
      <c r="M4" s="191"/>
      <c r="N4" s="191"/>
      <c r="O4" s="191"/>
      <c r="P4" s="17"/>
      <c r="Q4" s="11"/>
      <c r="R4" s="219">
        <f>SUM(R2:R3)</f>
        <v>12012003.940000001</v>
      </c>
      <c r="S4" s="219">
        <f>SUM(S2:S3)</f>
        <v>14597280.285454547</v>
      </c>
    </row>
  </sheetData>
  <conditionalFormatting sqref="F2:O3">
    <cfRule type="cellIs" dxfId="8" priority="9" operator="between">
      <formula>1.5</formula>
      <formula>0.945</formula>
    </cfRule>
  </conditionalFormatting>
  <conditionalFormatting sqref="F2:O3">
    <cfRule type="cellIs" dxfId="7" priority="8" operator="between">
      <formula>0.9451</formula>
      <formula>0.795</formula>
    </cfRule>
  </conditionalFormatting>
  <conditionalFormatting sqref="F2:O3">
    <cfRule type="cellIs" dxfId="6" priority="7" operator="lessThanOrEqual">
      <formula>0.794</formula>
    </cfRule>
  </conditionalFormatting>
  <conditionalFormatting sqref="D3:E3">
    <cfRule type="cellIs" dxfId="5" priority="6" operator="between">
      <formula>1.5</formula>
      <formula>0.945</formula>
    </cfRule>
  </conditionalFormatting>
  <conditionalFormatting sqref="D3:E3">
    <cfRule type="cellIs" dxfId="4" priority="5" operator="between">
      <formula>0.944</formula>
      <formula>0.795</formula>
    </cfRule>
  </conditionalFormatting>
  <conditionalFormatting sqref="D3:E3">
    <cfRule type="cellIs" dxfId="3" priority="4" operator="lessThan">
      <formula>0.795</formula>
    </cfRule>
  </conditionalFormatting>
  <conditionalFormatting sqref="D2:E2">
    <cfRule type="cellIs" dxfId="2" priority="3" operator="between">
      <formula>1</formula>
      <formula>0.945</formula>
    </cfRule>
  </conditionalFormatting>
  <conditionalFormatting sqref="D2:E2">
    <cfRule type="cellIs" dxfId="1" priority="2" operator="between">
      <formula>0.944</formula>
      <formula>0.795</formula>
    </cfRule>
  </conditionalFormatting>
  <conditionalFormatting sqref="D2:E2">
    <cfRule type="cellIs" dxfId="0" priority="1" operator="lessThan">
      <formula>0.795</formula>
    </cfRule>
  </conditionalFormatting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9"/>
  <sheetViews>
    <sheetView workbookViewId="0">
      <selection activeCell="A3" sqref="A3:C9"/>
    </sheetView>
  </sheetViews>
  <sheetFormatPr defaultRowHeight="15" x14ac:dyDescent="0.25"/>
  <cols>
    <col min="1" max="1" width="11.140625" customWidth="1"/>
    <col min="2" max="3" width="14.85546875" customWidth="1"/>
  </cols>
  <sheetData>
    <row r="3" spans="1:3" x14ac:dyDescent="0.25">
      <c r="A3" s="247"/>
      <c r="B3" s="249" t="s">
        <v>630</v>
      </c>
      <c r="C3" s="248"/>
    </row>
    <row r="4" spans="1:3" x14ac:dyDescent="0.25">
      <c r="A4" s="249" t="s">
        <v>634</v>
      </c>
      <c r="B4" s="247" t="s">
        <v>632</v>
      </c>
      <c r="C4" s="252" t="s">
        <v>631</v>
      </c>
    </row>
    <row r="5" spans="1:3" x14ac:dyDescent="0.25">
      <c r="A5" s="247" t="s">
        <v>606</v>
      </c>
      <c r="B5" s="253">
        <v>70875923.219999999</v>
      </c>
      <c r="C5" s="256">
        <v>58514319.789999984</v>
      </c>
    </row>
    <row r="6" spans="1:3" x14ac:dyDescent="0.25">
      <c r="A6" s="250" t="s">
        <v>589</v>
      </c>
      <c r="B6" s="254">
        <v>56404211.459999986</v>
      </c>
      <c r="C6" s="257">
        <v>42230901.970000006</v>
      </c>
    </row>
    <row r="7" spans="1:3" x14ac:dyDescent="0.25">
      <c r="A7" s="250" t="s">
        <v>612</v>
      </c>
      <c r="B7" s="254">
        <v>9036245.6500000004</v>
      </c>
      <c r="C7" s="257">
        <v>12012003.940000001</v>
      </c>
    </row>
    <row r="8" spans="1:3" x14ac:dyDescent="0.25">
      <c r="A8" s="250" t="s">
        <v>590</v>
      </c>
      <c r="B8" s="254">
        <v>25338993.270000003</v>
      </c>
      <c r="C8" s="257">
        <v>17971641.219999999</v>
      </c>
    </row>
    <row r="9" spans="1:3" x14ac:dyDescent="0.25">
      <c r="A9" s="251" t="s">
        <v>629</v>
      </c>
      <c r="B9" s="255">
        <v>161655373.59999999</v>
      </c>
      <c r="C9" s="258">
        <v>130728866.91999999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1"/>
  <sheetViews>
    <sheetView zoomScale="85" zoomScaleNormal="85" workbookViewId="0">
      <pane ySplit="2" topLeftCell="A105" activePane="bottomLeft" state="frozen"/>
      <selection pane="bottomLeft" activeCell="A2" sqref="A2:K146"/>
    </sheetView>
  </sheetViews>
  <sheetFormatPr defaultRowHeight="15" x14ac:dyDescent="0.25"/>
  <cols>
    <col min="1" max="1" width="9.140625" style="234"/>
    <col min="2" max="2" width="8" bestFit="1" customWidth="1"/>
    <col min="3" max="3" width="48.7109375" bestFit="1" customWidth="1"/>
    <col min="4" max="4" width="12" bestFit="1" customWidth="1"/>
    <col min="5" max="10" width="12.7109375" bestFit="1" customWidth="1"/>
    <col min="11" max="11" width="12.7109375" customWidth="1"/>
    <col min="12" max="12" width="13.7109375" bestFit="1" customWidth="1"/>
    <col min="13" max="13" width="13.85546875" bestFit="1" customWidth="1"/>
  </cols>
  <sheetData>
    <row r="1" spans="1:13" x14ac:dyDescent="0.25">
      <c r="F1" t="s">
        <v>594</v>
      </c>
    </row>
    <row r="2" spans="1:13" x14ac:dyDescent="0.25">
      <c r="A2" s="234" t="s">
        <v>634</v>
      </c>
      <c r="B2" t="s">
        <v>0</v>
      </c>
      <c r="C2" t="s">
        <v>1</v>
      </c>
      <c r="D2" t="s">
        <v>2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600</v>
      </c>
      <c r="K2" t="s">
        <v>613</v>
      </c>
    </row>
    <row r="3" spans="1:13" x14ac:dyDescent="0.25">
      <c r="A3" s="234" t="s">
        <v>606</v>
      </c>
      <c r="B3" s="87" t="s">
        <v>296</v>
      </c>
      <c r="C3" s="87" t="s">
        <v>295</v>
      </c>
      <c r="D3" s="87" t="s">
        <v>12</v>
      </c>
      <c r="E3" s="88">
        <v>588757.23</v>
      </c>
      <c r="F3" s="88">
        <v>1547160.81</v>
      </c>
      <c r="G3" s="88">
        <v>1026270.98</v>
      </c>
      <c r="H3" s="88">
        <v>1991703.92</v>
      </c>
      <c r="I3" s="88">
        <v>1675334.69</v>
      </c>
      <c r="J3" s="88">
        <v>1328542.8500000001</v>
      </c>
      <c r="K3" s="88">
        <v>2513886.9500000002</v>
      </c>
      <c r="L3" t="s">
        <v>607</v>
      </c>
      <c r="M3" s="1">
        <f>SUM(K3:K67)</f>
        <v>58514319.789999984</v>
      </c>
    </row>
    <row r="4" spans="1:13" x14ac:dyDescent="0.25">
      <c r="A4" s="234" t="s">
        <v>606</v>
      </c>
      <c r="B4" s="87" t="s">
        <v>294</v>
      </c>
      <c r="C4" s="87" t="s">
        <v>601</v>
      </c>
      <c r="D4" s="87" t="s">
        <v>21</v>
      </c>
      <c r="E4" s="88">
        <v>2653344.35</v>
      </c>
      <c r="F4" s="88">
        <v>3502856.24</v>
      </c>
      <c r="G4" s="88">
        <v>6123663.9900000002</v>
      </c>
      <c r="H4" s="88">
        <v>6084582.3399999999</v>
      </c>
      <c r="I4" s="88">
        <v>5726719.5700000003</v>
      </c>
      <c r="J4" s="88">
        <v>5440482.9400000004</v>
      </c>
      <c r="K4" s="88">
        <v>3930839.28</v>
      </c>
    </row>
    <row r="5" spans="1:13" x14ac:dyDescent="0.25">
      <c r="A5" s="234" t="s">
        <v>606</v>
      </c>
      <c r="B5" s="87" t="s">
        <v>293</v>
      </c>
      <c r="C5" s="87" t="s">
        <v>292</v>
      </c>
      <c r="D5" s="87" t="s">
        <v>12</v>
      </c>
      <c r="E5" s="88">
        <v>517023.62</v>
      </c>
      <c r="F5" s="88">
        <v>1180901.28</v>
      </c>
      <c r="G5" s="88">
        <v>1542210.35</v>
      </c>
      <c r="H5" s="88">
        <v>1693734.4</v>
      </c>
      <c r="I5" s="88">
        <v>1523699.89</v>
      </c>
      <c r="J5" s="88">
        <v>1279321.6599999999</v>
      </c>
      <c r="K5" s="88">
        <v>1023634.54</v>
      </c>
    </row>
    <row r="6" spans="1:13" x14ac:dyDescent="0.25">
      <c r="A6" s="234" t="s">
        <v>606</v>
      </c>
      <c r="B6" s="87" t="s">
        <v>291</v>
      </c>
      <c r="C6" s="87" t="s">
        <v>290</v>
      </c>
      <c r="D6" s="87" t="s">
        <v>12</v>
      </c>
      <c r="E6" s="88">
        <v>140293.38</v>
      </c>
      <c r="F6" s="88">
        <v>452789.94</v>
      </c>
      <c r="G6" s="88">
        <v>692360.03</v>
      </c>
      <c r="H6" s="88">
        <v>799594.86</v>
      </c>
      <c r="I6" s="88">
        <v>557816.76</v>
      </c>
      <c r="J6" s="88">
        <v>538027.68999999994</v>
      </c>
      <c r="K6" s="88">
        <v>563434.68999999994</v>
      </c>
    </row>
    <row r="7" spans="1:13" x14ac:dyDescent="0.25">
      <c r="A7" s="234" t="s">
        <v>606</v>
      </c>
      <c r="B7" s="87" t="s">
        <v>289</v>
      </c>
      <c r="C7" s="87" t="s">
        <v>288</v>
      </c>
      <c r="D7" s="87" t="s">
        <v>12</v>
      </c>
      <c r="E7" s="88">
        <v>171595.04</v>
      </c>
      <c r="F7" s="88">
        <v>896429.71</v>
      </c>
      <c r="G7" s="88">
        <v>1186643.1100000001</v>
      </c>
      <c r="H7" s="88">
        <v>1282679.03</v>
      </c>
      <c r="I7" s="88">
        <v>763103.96</v>
      </c>
      <c r="J7" s="88">
        <v>1191044.54</v>
      </c>
      <c r="K7" s="88">
        <v>745469.09</v>
      </c>
    </row>
    <row r="8" spans="1:13" x14ac:dyDescent="0.25">
      <c r="A8" s="234" t="s">
        <v>606</v>
      </c>
      <c r="B8" s="87" t="s">
        <v>287</v>
      </c>
      <c r="C8" s="87" t="s">
        <v>286</v>
      </c>
      <c r="D8" s="87" t="s">
        <v>21</v>
      </c>
      <c r="E8" s="88">
        <v>1020723.18</v>
      </c>
      <c r="F8" s="88">
        <v>1356280.63</v>
      </c>
      <c r="G8" s="88">
        <v>1475116.09</v>
      </c>
      <c r="H8" s="88">
        <v>1862256.47</v>
      </c>
      <c r="I8" s="88">
        <v>1914512.48</v>
      </c>
      <c r="J8" s="88">
        <v>1638485.65</v>
      </c>
      <c r="K8" s="88">
        <v>1855684.04</v>
      </c>
    </row>
    <row r="9" spans="1:13" x14ac:dyDescent="0.25">
      <c r="A9" s="234" t="s">
        <v>606</v>
      </c>
      <c r="B9" s="87" t="s">
        <v>285</v>
      </c>
      <c r="C9" s="87" t="s">
        <v>284</v>
      </c>
      <c r="D9" s="87" t="s">
        <v>12</v>
      </c>
      <c r="E9" s="88">
        <v>53218.83</v>
      </c>
      <c r="F9" s="88">
        <v>64558.37</v>
      </c>
      <c r="G9" s="88">
        <v>127451.74</v>
      </c>
      <c r="H9" s="88">
        <v>227432.95</v>
      </c>
      <c r="I9" s="88">
        <v>348305.99</v>
      </c>
      <c r="J9" s="88">
        <v>215463.94</v>
      </c>
      <c r="K9" s="88">
        <v>204172.12</v>
      </c>
    </row>
    <row r="10" spans="1:13" x14ac:dyDescent="0.25">
      <c r="A10" s="234" t="s">
        <v>606</v>
      </c>
      <c r="B10" s="87" t="s">
        <v>283</v>
      </c>
      <c r="C10" s="87" t="s">
        <v>282</v>
      </c>
      <c r="D10" s="87" t="s">
        <v>12</v>
      </c>
      <c r="E10" s="88">
        <v>21314.61</v>
      </c>
      <c r="F10" s="88">
        <v>47564.59</v>
      </c>
      <c r="G10" s="88">
        <v>174444.12</v>
      </c>
      <c r="H10" s="88">
        <v>239713.19</v>
      </c>
      <c r="I10" s="88">
        <v>198651.59</v>
      </c>
      <c r="J10" s="88">
        <v>199311.95</v>
      </c>
      <c r="K10" s="88">
        <v>168461.3</v>
      </c>
    </row>
    <row r="11" spans="1:13" x14ac:dyDescent="0.25">
      <c r="A11" s="234" t="s">
        <v>606</v>
      </c>
      <c r="B11" s="87" t="s">
        <v>281</v>
      </c>
      <c r="C11" s="87" t="s">
        <v>280</v>
      </c>
      <c r="D11" s="87" t="s">
        <v>12</v>
      </c>
      <c r="E11" s="88">
        <v>43285.67</v>
      </c>
      <c r="F11" s="88">
        <v>134325.97</v>
      </c>
      <c r="G11" s="88">
        <v>256958.1</v>
      </c>
      <c r="H11" s="88">
        <v>437264.24</v>
      </c>
      <c r="I11" s="88">
        <v>322075.19</v>
      </c>
      <c r="J11" s="88">
        <v>253376.34</v>
      </c>
      <c r="K11" s="88">
        <v>237208.39</v>
      </c>
    </row>
    <row r="12" spans="1:13" x14ac:dyDescent="0.25">
      <c r="A12" s="234" t="s">
        <v>606</v>
      </c>
      <c r="B12" s="87" t="s">
        <v>279</v>
      </c>
      <c r="C12" s="87" t="s">
        <v>278</v>
      </c>
      <c r="D12" s="87" t="s">
        <v>21</v>
      </c>
      <c r="E12" s="88">
        <v>381350.87</v>
      </c>
      <c r="F12" s="88">
        <v>673416.44</v>
      </c>
      <c r="G12" s="88">
        <v>482906.19</v>
      </c>
      <c r="H12" s="88">
        <v>479765.62</v>
      </c>
      <c r="I12" s="88">
        <v>1027031.52</v>
      </c>
      <c r="J12" s="88">
        <v>868684.81</v>
      </c>
      <c r="K12" s="88">
        <v>854566.48</v>
      </c>
    </row>
    <row r="13" spans="1:13" x14ac:dyDescent="0.25">
      <c r="A13" s="234" t="s">
        <v>606</v>
      </c>
      <c r="B13" s="87" t="s">
        <v>277</v>
      </c>
      <c r="C13" s="87" t="s">
        <v>276</v>
      </c>
      <c r="D13" s="87" t="s">
        <v>12</v>
      </c>
      <c r="E13" s="88">
        <v>804149.35</v>
      </c>
      <c r="F13" s="88">
        <v>1156359.56</v>
      </c>
      <c r="G13" s="88">
        <v>1817331.1</v>
      </c>
      <c r="H13" s="88">
        <v>1850207.19</v>
      </c>
      <c r="I13" s="88">
        <v>2424705.34</v>
      </c>
      <c r="J13" s="88">
        <v>2091283.75</v>
      </c>
      <c r="K13" s="88">
        <v>2091283.75</v>
      </c>
    </row>
    <row r="14" spans="1:13" x14ac:dyDescent="0.25">
      <c r="A14" s="234" t="s">
        <v>606</v>
      </c>
      <c r="B14" s="87" t="s">
        <v>275</v>
      </c>
      <c r="C14" s="87" t="s">
        <v>274</v>
      </c>
      <c r="D14" s="87" t="s">
        <v>21</v>
      </c>
      <c r="E14" s="88">
        <v>858891.82</v>
      </c>
      <c r="F14" s="88">
        <v>2017857.96</v>
      </c>
      <c r="G14" s="88">
        <v>3281987.81</v>
      </c>
      <c r="H14" s="88">
        <v>2819136.37</v>
      </c>
      <c r="I14" s="88">
        <v>2860793.35</v>
      </c>
      <c r="J14" s="88">
        <v>1965044.43</v>
      </c>
      <c r="K14" s="88">
        <v>1526259.59</v>
      </c>
    </row>
    <row r="15" spans="1:13" x14ac:dyDescent="0.25">
      <c r="A15" s="234" t="s">
        <v>606</v>
      </c>
      <c r="B15" s="87" t="s">
        <v>273</v>
      </c>
      <c r="C15" s="87" t="s">
        <v>272</v>
      </c>
      <c r="D15" s="87" t="s">
        <v>12</v>
      </c>
      <c r="E15" s="88">
        <v>325665.21999999997</v>
      </c>
      <c r="F15" s="88">
        <v>937316.94</v>
      </c>
      <c r="G15" s="88">
        <v>1072895.57</v>
      </c>
      <c r="H15" s="88">
        <v>1425638.79</v>
      </c>
      <c r="I15" s="88">
        <v>1045586.6</v>
      </c>
      <c r="J15" s="88">
        <v>931156.72</v>
      </c>
      <c r="K15" s="88">
        <v>712438.96</v>
      </c>
    </row>
    <row r="16" spans="1:13" x14ac:dyDescent="0.25">
      <c r="A16" s="234" t="s">
        <v>606</v>
      </c>
      <c r="B16" s="87" t="s">
        <v>271</v>
      </c>
      <c r="C16" s="87" t="s">
        <v>270</v>
      </c>
      <c r="D16" s="87" t="s">
        <v>12</v>
      </c>
      <c r="E16" s="88">
        <v>1322319.57</v>
      </c>
      <c r="F16" s="88">
        <v>2728507.58</v>
      </c>
      <c r="G16" s="88">
        <v>3389776.01</v>
      </c>
      <c r="H16" s="88">
        <v>3997300.71</v>
      </c>
      <c r="I16" s="88">
        <v>3057035.71</v>
      </c>
      <c r="J16" s="88">
        <v>2396138.04</v>
      </c>
      <c r="K16" s="88">
        <v>1697816.28</v>
      </c>
    </row>
    <row r="17" spans="1:11" x14ac:dyDescent="0.25">
      <c r="A17" s="234" t="s">
        <v>606</v>
      </c>
      <c r="B17" s="87" t="s">
        <v>269</v>
      </c>
      <c r="C17" s="87" t="s">
        <v>268</v>
      </c>
      <c r="D17" s="87" t="s">
        <v>12</v>
      </c>
      <c r="E17" s="88">
        <v>1048895.56</v>
      </c>
      <c r="F17" s="88">
        <v>2625716.71</v>
      </c>
      <c r="G17" s="88">
        <v>3331704.85</v>
      </c>
      <c r="H17" s="88">
        <v>3272192.61</v>
      </c>
      <c r="I17" s="88">
        <v>2813013.78</v>
      </c>
      <c r="J17" s="88">
        <v>2324007.9</v>
      </c>
      <c r="K17" s="88">
        <v>1670884.63</v>
      </c>
    </row>
    <row r="18" spans="1:11" x14ac:dyDescent="0.25">
      <c r="A18" s="234" t="s">
        <v>606</v>
      </c>
      <c r="B18" s="87" t="s">
        <v>267</v>
      </c>
      <c r="C18" s="87" t="s">
        <v>266</v>
      </c>
      <c r="D18" s="87" t="s">
        <v>12</v>
      </c>
      <c r="E18" s="88">
        <v>108847.2</v>
      </c>
      <c r="F18" s="88">
        <v>273768.64</v>
      </c>
      <c r="G18" s="88">
        <v>408203.14</v>
      </c>
      <c r="H18" s="88">
        <v>684149.45</v>
      </c>
      <c r="I18" s="88">
        <v>486805.86</v>
      </c>
      <c r="J18" s="88">
        <v>325856.77</v>
      </c>
      <c r="K18" s="88">
        <v>241451.27</v>
      </c>
    </row>
    <row r="19" spans="1:11" x14ac:dyDescent="0.25">
      <c r="A19" s="234" t="s">
        <v>606</v>
      </c>
      <c r="B19" s="87" t="s">
        <v>265</v>
      </c>
      <c r="C19" s="87" t="s">
        <v>264</v>
      </c>
      <c r="D19" s="87" t="s">
        <v>12</v>
      </c>
      <c r="E19" s="88">
        <v>709058.63</v>
      </c>
      <c r="F19" s="88">
        <v>1841291.38</v>
      </c>
      <c r="G19" s="88">
        <v>1702599.42</v>
      </c>
      <c r="H19" s="88">
        <v>2191465.8199999998</v>
      </c>
      <c r="I19" s="88">
        <v>1625913.15</v>
      </c>
      <c r="J19" s="88">
        <v>1332529.6399999999</v>
      </c>
      <c r="K19" s="88">
        <v>1122963.32</v>
      </c>
    </row>
    <row r="20" spans="1:11" x14ac:dyDescent="0.25">
      <c r="A20" s="234" t="s">
        <v>606</v>
      </c>
      <c r="B20" s="87" t="s">
        <v>263</v>
      </c>
      <c r="C20" s="87" t="s">
        <v>262</v>
      </c>
      <c r="D20" s="87" t="s">
        <v>21</v>
      </c>
      <c r="E20" s="88">
        <v>376591.6</v>
      </c>
      <c r="F20" s="88">
        <v>691551.87</v>
      </c>
      <c r="G20" s="88">
        <v>778297.61</v>
      </c>
      <c r="H20" s="88">
        <v>838083.95</v>
      </c>
      <c r="I20" s="88">
        <v>681880.3</v>
      </c>
      <c r="J20" s="88">
        <v>539678.6</v>
      </c>
      <c r="K20" s="88">
        <v>503571.64</v>
      </c>
    </row>
    <row r="21" spans="1:11" x14ac:dyDescent="0.25">
      <c r="A21" s="234" t="s">
        <v>606</v>
      </c>
      <c r="B21" s="87" t="s">
        <v>261</v>
      </c>
      <c r="C21" s="87" t="s">
        <v>260</v>
      </c>
      <c r="D21" s="87" t="s">
        <v>12</v>
      </c>
      <c r="E21" s="88">
        <v>922361.9</v>
      </c>
      <c r="F21" s="88">
        <v>1411899.9</v>
      </c>
      <c r="G21" s="88">
        <v>1547835.01</v>
      </c>
      <c r="H21" s="88">
        <v>2066440.22</v>
      </c>
      <c r="I21" s="88">
        <v>2335554.1800000002</v>
      </c>
      <c r="J21" s="88">
        <v>1681516.12</v>
      </c>
      <c r="K21" s="88">
        <v>1651755.5</v>
      </c>
    </row>
    <row r="22" spans="1:11" x14ac:dyDescent="0.25">
      <c r="A22" s="234" t="s">
        <v>606</v>
      </c>
      <c r="B22" s="87" t="s">
        <v>259</v>
      </c>
      <c r="C22" s="87" t="s">
        <v>258</v>
      </c>
      <c r="D22" s="87" t="s">
        <v>12</v>
      </c>
      <c r="E22" s="88">
        <v>212944.52</v>
      </c>
      <c r="F22" s="88">
        <v>497370.1</v>
      </c>
      <c r="G22" s="88">
        <v>948442.17</v>
      </c>
      <c r="H22" s="88">
        <v>1148909.21</v>
      </c>
      <c r="I22" s="88">
        <v>977139.13</v>
      </c>
      <c r="J22" s="88">
        <v>997434.69</v>
      </c>
      <c r="K22" s="88">
        <v>594116.86</v>
      </c>
    </row>
    <row r="23" spans="1:11" x14ac:dyDescent="0.25">
      <c r="A23" s="234" t="s">
        <v>606</v>
      </c>
      <c r="B23" s="87" t="s">
        <v>257</v>
      </c>
      <c r="C23" s="87" t="s">
        <v>256</v>
      </c>
      <c r="D23" s="87" t="s">
        <v>12</v>
      </c>
      <c r="E23" s="88">
        <v>430110.63</v>
      </c>
      <c r="F23" s="88">
        <v>1354627.11</v>
      </c>
      <c r="G23" s="88">
        <v>1992778.34</v>
      </c>
      <c r="H23" s="88">
        <v>1804371.15</v>
      </c>
      <c r="I23" s="88">
        <v>1599386.12</v>
      </c>
      <c r="J23" s="88">
        <v>1023104.94</v>
      </c>
      <c r="K23" s="88">
        <v>920292.56</v>
      </c>
    </row>
    <row r="24" spans="1:11" x14ac:dyDescent="0.25">
      <c r="A24" s="234" t="s">
        <v>606</v>
      </c>
      <c r="B24" s="87" t="s">
        <v>255</v>
      </c>
      <c r="C24" s="87" t="s">
        <v>254</v>
      </c>
      <c r="D24" s="87" t="s">
        <v>21</v>
      </c>
      <c r="E24" s="88">
        <v>1626423.92</v>
      </c>
      <c r="F24" s="88">
        <v>1989595.12</v>
      </c>
      <c r="G24" s="88">
        <v>2261776.5699999998</v>
      </c>
      <c r="H24" s="88">
        <v>3108003.14</v>
      </c>
      <c r="I24" s="88">
        <v>2684873.1</v>
      </c>
      <c r="J24" s="88">
        <v>2550835.37</v>
      </c>
      <c r="K24" s="88">
        <v>2001332.27</v>
      </c>
    </row>
    <row r="25" spans="1:11" x14ac:dyDescent="0.25">
      <c r="A25" s="234" t="s">
        <v>606</v>
      </c>
      <c r="B25" s="87" t="s">
        <v>253</v>
      </c>
      <c r="C25" s="87" t="s">
        <v>252</v>
      </c>
      <c r="D25" s="87" t="s">
        <v>21</v>
      </c>
      <c r="E25" s="88">
        <v>716682.54</v>
      </c>
      <c r="F25" s="88">
        <v>1769166.81</v>
      </c>
      <c r="G25" s="88">
        <v>2715688.61</v>
      </c>
      <c r="H25" s="88">
        <v>3365864.96</v>
      </c>
      <c r="I25" s="88">
        <v>3313526.43</v>
      </c>
      <c r="J25" s="88">
        <v>2462112.4900000002</v>
      </c>
      <c r="K25" s="88">
        <v>2229560.85</v>
      </c>
    </row>
    <row r="26" spans="1:11" x14ac:dyDescent="0.25">
      <c r="A26" s="234" t="s">
        <v>606</v>
      </c>
      <c r="B26" s="87" t="s">
        <v>251</v>
      </c>
      <c r="C26" s="87" t="s">
        <v>250</v>
      </c>
      <c r="D26" s="87" t="s">
        <v>12</v>
      </c>
      <c r="E26" s="88">
        <v>79582.789999999994</v>
      </c>
      <c r="F26" s="88">
        <v>295114.40000000002</v>
      </c>
      <c r="G26" s="88">
        <v>433343.98</v>
      </c>
      <c r="H26" s="88">
        <v>578008.25</v>
      </c>
      <c r="I26" s="88">
        <v>485929.04</v>
      </c>
      <c r="J26" s="88">
        <v>358130.61</v>
      </c>
      <c r="K26" s="88">
        <v>326174.95</v>
      </c>
    </row>
    <row r="27" spans="1:11" x14ac:dyDescent="0.25">
      <c r="A27" s="234" t="s">
        <v>606</v>
      </c>
      <c r="B27" s="87" t="s">
        <v>249</v>
      </c>
      <c r="C27" s="87" t="s">
        <v>248</v>
      </c>
      <c r="D27" s="87" t="s">
        <v>12</v>
      </c>
      <c r="E27" s="88">
        <v>88356.75</v>
      </c>
      <c r="F27" s="88">
        <v>266595.11</v>
      </c>
      <c r="G27" s="88">
        <v>320819.96999999997</v>
      </c>
      <c r="H27" s="88">
        <v>374768.22</v>
      </c>
      <c r="I27" s="88">
        <v>325931.75</v>
      </c>
      <c r="J27" s="88">
        <v>322596.07</v>
      </c>
      <c r="K27" s="88">
        <v>272043.15000000002</v>
      </c>
    </row>
    <row r="28" spans="1:11" x14ac:dyDescent="0.25">
      <c r="A28" s="234" t="s">
        <v>606</v>
      </c>
      <c r="B28" s="87" t="s">
        <v>247</v>
      </c>
      <c r="C28" s="87" t="s">
        <v>246</v>
      </c>
      <c r="D28" s="87" t="s">
        <v>12</v>
      </c>
      <c r="E28" s="88">
        <v>92790.32</v>
      </c>
      <c r="F28" s="88">
        <v>433926.63</v>
      </c>
      <c r="G28" s="88">
        <v>545927.78</v>
      </c>
      <c r="H28" s="88">
        <v>529217.31000000006</v>
      </c>
      <c r="I28" s="88">
        <v>367765.74</v>
      </c>
      <c r="J28" s="88">
        <v>247044.79</v>
      </c>
      <c r="K28" s="88">
        <v>226515.26</v>
      </c>
    </row>
    <row r="29" spans="1:11" x14ac:dyDescent="0.25">
      <c r="A29" s="234" t="s">
        <v>606</v>
      </c>
      <c r="B29" s="87" t="s">
        <v>245</v>
      </c>
      <c r="C29" s="87" t="s">
        <v>244</v>
      </c>
      <c r="D29" s="87" t="s">
        <v>12</v>
      </c>
      <c r="E29" s="88">
        <v>825456.42</v>
      </c>
      <c r="F29" s="88">
        <v>1700155.96</v>
      </c>
      <c r="G29" s="88">
        <v>2192541.4700000002</v>
      </c>
      <c r="H29" s="88">
        <v>2497701.0099999998</v>
      </c>
      <c r="I29" s="88">
        <v>2247252.73</v>
      </c>
      <c r="J29" s="88">
        <v>2234350.27</v>
      </c>
      <c r="K29" s="88">
        <v>1679502.88</v>
      </c>
    </row>
    <row r="30" spans="1:11" x14ac:dyDescent="0.25">
      <c r="A30" s="234" t="s">
        <v>606</v>
      </c>
      <c r="B30" s="87" t="s">
        <v>243</v>
      </c>
      <c r="C30" s="87" t="s">
        <v>242</v>
      </c>
      <c r="D30" s="87" t="s">
        <v>21</v>
      </c>
      <c r="E30" s="88">
        <v>836589.37</v>
      </c>
      <c r="F30" s="88">
        <v>1503770.81</v>
      </c>
      <c r="G30" s="88">
        <v>1759024.8</v>
      </c>
      <c r="H30" s="88">
        <v>1837969.01</v>
      </c>
      <c r="I30" s="88">
        <v>1523889.19</v>
      </c>
      <c r="J30" s="88">
        <v>1761297.83</v>
      </c>
      <c r="K30" s="88">
        <v>1735174.59</v>
      </c>
    </row>
    <row r="31" spans="1:11" x14ac:dyDescent="0.25">
      <c r="A31" s="234" t="s">
        <v>606</v>
      </c>
      <c r="B31" s="87" t="s">
        <v>241</v>
      </c>
      <c r="C31" s="87" t="s">
        <v>240</v>
      </c>
      <c r="D31" s="87" t="s">
        <v>12</v>
      </c>
      <c r="E31" s="88">
        <v>62615.74</v>
      </c>
      <c r="F31" s="88">
        <v>167726.63</v>
      </c>
      <c r="G31" s="88">
        <v>580094.03</v>
      </c>
      <c r="H31" s="88">
        <v>910509.19</v>
      </c>
      <c r="I31" s="88">
        <v>564084.28</v>
      </c>
      <c r="J31" s="88">
        <v>415987.09</v>
      </c>
      <c r="K31" s="88">
        <v>297164.59000000003</v>
      </c>
    </row>
    <row r="32" spans="1:11" x14ac:dyDescent="0.25">
      <c r="A32" s="234" t="s">
        <v>606</v>
      </c>
      <c r="B32" s="87" t="s">
        <v>239</v>
      </c>
      <c r="C32" s="87" t="s">
        <v>238</v>
      </c>
      <c r="D32" s="87" t="s">
        <v>12</v>
      </c>
      <c r="E32" s="88">
        <v>86417.16</v>
      </c>
      <c r="F32" s="88">
        <v>207805.21</v>
      </c>
      <c r="G32" s="88">
        <v>274994.40000000002</v>
      </c>
      <c r="H32" s="88">
        <v>346580.43</v>
      </c>
      <c r="I32" s="88">
        <v>332895.53000000003</v>
      </c>
      <c r="J32" s="88">
        <v>195949.36</v>
      </c>
      <c r="K32" s="88">
        <v>182096.52</v>
      </c>
    </row>
    <row r="33" spans="1:11" x14ac:dyDescent="0.25">
      <c r="A33" s="234" t="s">
        <v>606</v>
      </c>
      <c r="B33" s="87" t="s">
        <v>237</v>
      </c>
      <c r="C33" s="87" t="s">
        <v>236</v>
      </c>
      <c r="D33" s="87" t="s">
        <v>12</v>
      </c>
      <c r="E33" s="88">
        <v>35782.26</v>
      </c>
      <c r="F33" s="88">
        <v>117136.2</v>
      </c>
      <c r="G33" s="88">
        <v>182419.99</v>
      </c>
      <c r="H33" s="88">
        <v>218819.86</v>
      </c>
      <c r="I33" s="88">
        <v>239306.28</v>
      </c>
      <c r="J33" s="88">
        <v>167562.18</v>
      </c>
      <c r="K33" s="88">
        <v>173846.37</v>
      </c>
    </row>
    <row r="34" spans="1:11" x14ac:dyDescent="0.25">
      <c r="A34" s="234" t="s">
        <v>606</v>
      </c>
      <c r="B34" s="87" t="s">
        <v>235</v>
      </c>
      <c r="C34" s="87" t="s">
        <v>234</v>
      </c>
      <c r="D34" s="87" t="s">
        <v>12</v>
      </c>
      <c r="E34" s="88">
        <v>163840.65</v>
      </c>
      <c r="F34" s="88">
        <v>443984.89</v>
      </c>
      <c r="G34" s="88">
        <v>835192.13</v>
      </c>
      <c r="H34" s="88">
        <v>965445.49</v>
      </c>
      <c r="I34" s="88">
        <v>1123534.03</v>
      </c>
      <c r="J34" s="88">
        <v>884832.17</v>
      </c>
      <c r="K34" s="88">
        <v>646375.36</v>
      </c>
    </row>
    <row r="35" spans="1:11" x14ac:dyDescent="0.25">
      <c r="A35" s="234" t="s">
        <v>606</v>
      </c>
      <c r="B35" s="87" t="s">
        <v>233</v>
      </c>
      <c r="C35" s="87" t="s">
        <v>232</v>
      </c>
      <c r="D35" s="87" t="s">
        <v>12</v>
      </c>
      <c r="E35" s="88">
        <v>132734.93</v>
      </c>
      <c r="F35" s="88">
        <v>278721.94</v>
      </c>
      <c r="G35" s="88">
        <v>369370.67</v>
      </c>
      <c r="H35" s="88">
        <v>368115.07</v>
      </c>
      <c r="I35" s="88">
        <v>303648.53999999998</v>
      </c>
      <c r="J35" s="88">
        <v>222082.97</v>
      </c>
      <c r="K35" s="88">
        <v>196314.01</v>
      </c>
    </row>
    <row r="36" spans="1:11" x14ac:dyDescent="0.25">
      <c r="A36" s="234" t="s">
        <v>606</v>
      </c>
      <c r="B36" s="87" t="s">
        <v>231</v>
      </c>
      <c r="C36" s="87" t="s">
        <v>230</v>
      </c>
      <c r="D36" s="87" t="s">
        <v>12</v>
      </c>
      <c r="E36" s="88">
        <v>100543.53</v>
      </c>
      <c r="F36" s="88">
        <v>236607.38</v>
      </c>
      <c r="G36" s="88">
        <v>302012.65999999997</v>
      </c>
      <c r="H36" s="88">
        <v>348170.46</v>
      </c>
      <c r="I36" s="88">
        <v>275245.32</v>
      </c>
      <c r="J36" s="88">
        <v>229252.31</v>
      </c>
      <c r="K36" s="88">
        <v>193652.23</v>
      </c>
    </row>
    <row r="37" spans="1:11" x14ac:dyDescent="0.25">
      <c r="A37" s="234" t="s">
        <v>606</v>
      </c>
      <c r="B37" s="87" t="s">
        <v>229</v>
      </c>
      <c r="C37" s="87" t="s">
        <v>228</v>
      </c>
      <c r="D37" s="87" t="s">
        <v>21</v>
      </c>
      <c r="E37" s="88">
        <v>3662077.55</v>
      </c>
      <c r="F37" s="88">
        <v>5736090.46</v>
      </c>
      <c r="G37" s="88">
        <v>7326704.5199999996</v>
      </c>
      <c r="H37" s="88">
        <v>7849477.71</v>
      </c>
      <c r="I37" s="88">
        <v>6568483.8200000003</v>
      </c>
      <c r="J37" s="88">
        <v>7727526.6500000004</v>
      </c>
      <c r="K37" s="88">
        <v>4980739.47</v>
      </c>
    </row>
    <row r="38" spans="1:11" x14ac:dyDescent="0.25">
      <c r="A38" s="234" t="s">
        <v>606</v>
      </c>
      <c r="B38" s="87" t="s">
        <v>227</v>
      </c>
      <c r="C38" s="87" t="s">
        <v>226</v>
      </c>
      <c r="D38" s="87" t="s">
        <v>12</v>
      </c>
      <c r="E38" s="88">
        <v>653177.39</v>
      </c>
      <c r="F38" s="88">
        <v>1825708.48</v>
      </c>
      <c r="G38" s="88">
        <v>3427103.43</v>
      </c>
      <c r="H38" s="88">
        <v>4248988.21</v>
      </c>
      <c r="I38" s="88">
        <v>2790016.62</v>
      </c>
      <c r="J38" s="88">
        <v>2009883.78</v>
      </c>
      <c r="K38" s="88">
        <v>1492117.82</v>
      </c>
    </row>
    <row r="39" spans="1:11" x14ac:dyDescent="0.25">
      <c r="A39" s="234" t="s">
        <v>606</v>
      </c>
      <c r="B39" s="87" t="s">
        <v>225</v>
      </c>
      <c r="C39" s="87" t="s">
        <v>224</v>
      </c>
      <c r="D39" s="87" t="s">
        <v>12</v>
      </c>
      <c r="E39" s="88">
        <v>83003.31</v>
      </c>
      <c r="F39" s="88">
        <v>190426.96</v>
      </c>
      <c r="G39" s="88">
        <v>224927.64</v>
      </c>
      <c r="H39" s="88">
        <v>277628.32</v>
      </c>
      <c r="I39" s="88">
        <v>251912.09</v>
      </c>
      <c r="J39" s="88">
        <v>253098.6</v>
      </c>
      <c r="K39" s="88">
        <v>181935.59</v>
      </c>
    </row>
    <row r="40" spans="1:11" x14ac:dyDescent="0.25">
      <c r="A40" s="234" t="s">
        <v>606</v>
      </c>
      <c r="B40" s="87" t="s">
        <v>223</v>
      </c>
      <c r="C40" s="87" t="s">
        <v>222</v>
      </c>
      <c r="D40" s="87" t="s">
        <v>12</v>
      </c>
      <c r="E40" s="88">
        <v>314650.8</v>
      </c>
      <c r="F40" s="88">
        <v>633300.81999999995</v>
      </c>
      <c r="G40" s="88">
        <v>888308.32</v>
      </c>
      <c r="H40" s="88">
        <v>934087.16</v>
      </c>
      <c r="I40" s="88">
        <v>1204460.79</v>
      </c>
      <c r="J40" s="88">
        <v>1004827.33</v>
      </c>
      <c r="K40" s="88">
        <v>839863.08</v>
      </c>
    </row>
    <row r="41" spans="1:11" x14ac:dyDescent="0.25">
      <c r="A41" s="234" t="s">
        <v>606</v>
      </c>
      <c r="B41" s="87" t="s">
        <v>221</v>
      </c>
      <c r="C41" s="87" t="s">
        <v>220</v>
      </c>
      <c r="D41" s="87" t="s">
        <v>12</v>
      </c>
      <c r="E41" s="88">
        <v>153713.04</v>
      </c>
      <c r="F41" s="88">
        <v>354996.57</v>
      </c>
      <c r="G41" s="88">
        <v>423365.46</v>
      </c>
      <c r="H41" s="88">
        <v>490462.51</v>
      </c>
      <c r="I41" s="88">
        <v>507799.94</v>
      </c>
      <c r="J41" s="88">
        <v>436861.91</v>
      </c>
      <c r="K41" s="88">
        <v>376331.29</v>
      </c>
    </row>
    <row r="42" spans="1:11" x14ac:dyDescent="0.25">
      <c r="A42" s="234" t="s">
        <v>606</v>
      </c>
      <c r="B42" s="87" t="s">
        <v>219</v>
      </c>
      <c r="C42" s="87" t="s">
        <v>218</v>
      </c>
      <c r="D42" s="87" t="s">
        <v>12</v>
      </c>
      <c r="E42" s="88">
        <v>162689.76999999999</v>
      </c>
      <c r="F42" s="88">
        <v>509101.95</v>
      </c>
      <c r="G42" s="88">
        <v>705234.51</v>
      </c>
      <c r="H42" s="88">
        <v>726057.88</v>
      </c>
      <c r="I42" s="88">
        <v>618892.86</v>
      </c>
      <c r="J42" s="88">
        <v>429546.38</v>
      </c>
      <c r="K42" s="88">
        <v>367942.26</v>
      </c>
    </row>
    <row r="43" spans="1:11" x14ac:dyDescent="0.25">
      <c r="A43" s="234" t="s">
        <v>606</v>
      </c>
      <c r="B43" s="87" t="s">
        <v>217</v>
      </c>
      <c r="C43" s="87" t="s">
        <v>216</v>
      </c>
      <c r="D43" s="87" t="s">
        <v>12</v>
      </c>
      <c r="E43" s="88">
        <v>512969.39</v>
      </c>
      <c r="F43" s="88">
        <v>1170039.29</v>
      </c>
      <c r="G43" s="88">
        <v>1331696.5900000001</v>
      </c>
      <c r="H43" s="88">
        <v>1430213.89</v>
      </c>
      <c r="I43" s="88">
        <v>1083547.69</v>
      </c>
      <c r="J43" s="88">
        <v>864260.31</v>
      </c>
      <c r="K43" s="88">
        <v>801634.67</v>
      </c>
    </row>
    <row r="44" spans="1:11" x14ac:dyDescent="0.25">
      <c r="A44" s="234" t="s">
        <v>606</v>
      </c>
      <c r="B44" s="87" t="s">
        <v>215</v>
      </c>
      <c r="C44" s="87" t="s">
        <v>214</v>
      </c>
      <c r="D44" s="87" t="s">
        <v>12</v>
      </c>
      <c r="E44" s="88">
        <v>86927.26</v>
      </c>
      <c r="F44" s="88">
        <v>182027.95</v>
      </c>
      <c r="G44" s="88">
        <v>182902.75</v>
      </c>
      <c r="H44" s="88">
        <v>224610.76</v>
      </c>
      <c r="I44" s="88">
        <v>190133.45</v>
      </c>
      <c r="J44" s="88">
        <v>119806.96</v>
      </c>
      <c r="K44" s="88">
        <v>194689.64</v>
      </c>
    </row>
    <row r="45" spans="1:11" x14ac:dyDescent="0.25">
      <c r="A45" s="234" t="s">
        <v>606</v>
      </c>
      <c r="B45" s="87" t="s">
        <v>213</v>
      </c>
      <c r="C45" s="87" t="s">
        <v>212</v>
      </c>
      <c r="D45" s="87" t="s">
        <v>21</v>
      </c>
      <c r="E45" s="88">
        <v>1761445.96</v>
      </c>
      <c r="F45" s="88">
        <v>3812316.05</v>
      </c>
      <c r="G45" s="88">
        <v>4419676.9800000004</v>
      </c>
      <c r="H45" s="88">
        <v>6146379.2699999996</v>
      </c>
      <c r="I45" s="88">
        <v>4766894.18</v>
      </c>
      <c r="J45" s="88">
        <v>6048825.21</v>
      </c>
      <c r="K45" s="88">
        <v>4464052.62</v>
      </c>
    </row>
    <row r="46" spans="1:11" x14ac:dyDescent="0.25">
      <c r="A46" s="234" t="s">
        <v>606</v>
      </c>
      <c r="B46" s="87" t="s">
        <v>211</v>
      </c>
      <c r="C46" s="87" t="s">
        <v>210</v>
      </c>
      <c r="D46" s="87" t="s">
        <v>12</v>
      </c>
      <c r="E46" s="88">
        <v>656503.16</v>
      </c>
      <c r="F46" s="88">
        <v>1502885.25</v>
      </c>
      <c r="G46" s="88">
        <v>3155325.97</v>
      </c>
      <c r="H46" s="88">
        <v>3441072.38</v>
      </c>
      <c r="I46" s="88">
        <v>2738237.96</v>
      </c>
      <c r="J46" s="88">
        <v>1993936.67</v>
      </c>
      <c r="K46" s="88">
        <v>1815455.54</v>
      </c>
    </row>
    <row r="47" spans="1:11" x14ac:dyDescent="0.25">
      <c r="A47" s="234" t="s">
        <v>606</v>
      </c>
      <c r="B47" s="87" t="s">
        <v>209</v>
      </c>
      <c r="C47" s="87" t="s">
        <v>208</v>
      </c>
      <c r="D47" s="87" t="s">
        <v>21</v>
      </c>
      <c r="E47" s="88">
        <v>424971.48</v>
      </c>
      <c r="F47" s="88">
        <v>1000286.46</v>
      </c>
      <c r="G47" s="88">
        <v>1500469.01</v>
      </c>
      <c r="H47" s="88">
        <v>2114714.3199999998</v>
      </c>
      <c r="I47" s="88">
        <v>1953471.68</v>
      </c>
      <c r="J47" s="88">
        <v>1466581.34</v>
      </c>
      <c r="K47" s="88">
        <v>1222102.83</v>
      </c>
    </row>
    <row r="48" spans="1:11" x14ac:dyDescent="0.25">
      <c r="A48" s="234" t="s">
        <v>606</v>
      </c>
      <c r="B48" s="87" t="s">
        <v>207</v>
      </c>
      <c r="C48" s="87" t="s">
        <v>206</v>
      </c>
      <c r="D48" s="87" t="s">
        <v>12</v>
      </c>
      <c r="E48" s="88">
        <v>334677.98</v>
      </c>
      <c r="F48" s="88">
        <v>730103.06</v>
      </c>
      <c r="G48" s="88">
        <v>981135.67</v>
      </c>
      <c r="H48" s="88">
        <v>1083717.95</v>
      </c>
      <c r="I48" s="88">
        <v>800589.38</v>
      </c>
      <c r="J48" s="88">
        <v>685614.73</v>
      </c>
      <c r="K48" s="88">
        <v>518245.25</v>
      </c>
    </row>
    <row r="49" spans="1:11" x14ac:dyDescent="0.25">
      <c r="A49" s="234" t="s">
        <v>606</v>
      </c>
      <c r="B49" s="87" t="s">
        <v>205</v>
      </c>
      <c r="C49" s="87" t="s">
        <v>204</v>
      </c>
      <c r="D49" s="87" t="s">
        <v>12</v>
      </c>
      <c r="E49" s="88">
        <v>218241.74</v>
      </c>
      <c r="F49" s="88">
        <v>471849.22</v>
      </c>
      <c r="G49" s="88">
        <v>812836.12</v>
      </c>
      <c r="H49" s="88">
        <v>656750.26</v>
      </c>
      <c r="I49" s="88">
        <v>679428.16</v>
      </c>
      <c r="J49" s="88">
        <v>511186.73</v>
      </c>
      <c r="K49" s="88">
        <v>431618.75</v>
      </c>
    </row>
    <row r="50" spans="1:11" x14ac:dyDescent="0.25">
      <c r="A50" s="234" t="s">
        <v>606</v>
      </c>
      <c r="B50" s="87" t="s">
        <v>203</v>
      </c>
      <c r="C50" s="87" t="s">
        <v>202</v>
      </c>
      <c r="D50" s="87" t="s">
        <v>12</v>
      </c>
      <c r="E50" s="88">
        <v>82778.66</v>
      </c>
      <c r="F50" s="88">
        <v>125781.73</v>
      </c>
      <c r="G50" s="88">
        <v>155083.21</v>
      </c>
      <c r="H50" s="88">
        <v>153420.14000000001</v>
      </c>
      <c r="I50" s="88">
        <v>89866.59</v>
      </c>
      <c r="J50" s="88">
        <v>103113.51</v>
      </c>
      <c r="K50" s="88">
        <v>78946.97</v>
      </c>
    </row>
    <row r="51" spans="1:11" x14ac:dyDescent="0.25">
      <c r="A51" s="234" t="s">
        <v>606</v>
      </c>
      <c r="B51" s="87" t="s">
        <v>201</v>
      </c>
      <c r="C51" s="87" t="s">
        <v>200</v>
      </c>
      <c r="D51" s="87" t="s">
        <v>12</v>
      </c>
      <c r="E51" s="88">
        <v>64700.45</v>
      </c>
      <c r="F51" s="88">
        <v>285855.39</v>
      </c>
      <c r="G51" s="88">
        <v>488327.98</v>
      </c>
      <c r="H51" s="88">
        <v>745102.7</v>
      </c>
      <c r="I51" s="88">
        <v>485950.22</v>
      </c>
      <c r="J51" s="88">
        <v>386052.77</v>
      </c>
      <c r="K51" s="88">
        <v>342286.37</v>
      </c>
    </row>
    <row r="52" spans="1:11" x14ac:dyDescent="0.25">
      <c r="A52" s="234" t="s">
        <v>606</v>
      </c>
      <c r="B52" s="87" t="s">
        <v>199</v>
      </c>
      <c r="C52" s="87" t="s">
        <v>198</v>
      </c>
      <c r="D52" s="87" t="s">
        <v>16</v>
      </c>
      <c r="E52" s="88" t="s">
        <v>298</v>
      </c>
      <c r="F52" s="88" t="s">
        <v>298</v>
      </c>
      <c r="G52" s="88" t="s">
        <v>298</v>
      </c>
      <c r="H52" s="88" t="s">
        <v>298</v>
      </c>
      <c r="I52" s="88" t="s">
        <v>298</v>
      </c>
      <c r="J52" s="88" t="s">
        <v>298</v>
      </c>
      <c r="K52" s="88" t="s">
        <v>298</v>
      </c>
    </row>
    <row r="53" spans="1:11" x14ac:dyDescent="0.25">
      <c r="A53" s="234" t="s">
        <v>606</v>
      </c>
      <c r="B53" s="87" t="s">
        <v>197</v>
      </c>
      <c r="C53" s="87" t="s">
        <v>196</v>
      </c>
      <c r="D53" s="87" t="s">
        <v>12</v>
      </c>
      <c r="E53" s="88">
        <v>214019.14</v>
      </c>
      <c r="F53" s="88">
        <v>801902</v>
      </c>
      <c r="G53" s="88">
        <v>1043757.76</v>
      </c>
      <c r="H53" s="88">
        <v>1226497.46</v>
      </c>
      <c r="I53" s="88">
        <v>872241.48</v>
      </c>
      <c r="J53" s="88">
        <v>652917.47</v>
      </c>
      <c r="K53" s="88">
        <v>777681.77</v>
      </c>
    </row>
    <row r="54" spans="1:11" x14ac:dyDescent="0.25">
      <c r="A54" s="234" t="s">
        <v>606</v>
      </c>
      <c r="B54" s="87" t="s">
        <v>195</v>
      </c>
      <c r="C54" s="87" t="s">
        <v>194</v>
      </c>
      <c r="D54" s="87" t="s">
        <v>12</v>
      </c>
      <c r="E54" s="88">
        <v>90016.29</v>
      </c>
      <c r="F54" s="88">
        <v>319961.93</v>
      </c>
      <c r="G54" s="88">
        <v>407496.26</v>
      </c>
      <c r="H54" s="88">
        <v>586075.63</v>
      </c>
      <c r="I54" s="88">
        <v>15632.72</v>
      </c>
      <c r="J54" s="88">
        <v>277824.53999999998</v>
      </c>
      <c r="K54" s="88">
        <v>253608</v>
      </c>
    </row>
    <row r="55" spans="1:11" x14ac:dyDescent="0.25">
      <c r="A55" s="234" t="s">
        <v>606</v>
      </c>
      <c r="B55" s="87" t="s">
        <v>193</v>
      </c>
      <c r="C55" s="87" t="s">
        <v>192</v>
      </c>
      <c r="D55" s="87" t="s">
        <v>12</v>
      </c>
      <c r="E55" s="88">
        <v>2818.93</v>
      </c>
      <c r="F55" s="88">
        <v>424306.87</v>
      </c>
      <c r="G55" s="88">
        <v>815829.06</v>
      </c>
      <c r="H55" s="88">
        <v>914391.81</v>
      </c>
      <c r="I55" s="88">
        <v>613661.30000000005</v>
      </c>
      <c r="J55" s="88">
        <v>445258.05</v>
      </c>
      <c r="K55" s="88">
        <v>263278.55</v>
      </c>
    </row>
    <row r="56" spans="1:11" x14ac:dyDescent="0.25">
      <c r="A56" s="234" t="s">
        <v>606</v>
      </c>
      <c r="B56" s="87" t="s">
        <v>191</v>
      </c>
      <c r="C56" s="87" t="s">
        <v>190</v>
      </c>
      <c r="D56" s="87" t="s">
        <v>12</v>
      </c>
      <c r="E56" s="88">
        <v>276987.78999999998</v>
      </c>
      <c r="F56" s="88">
        <v>1008549.04</v>
      </c>
      <c r="G56" s="88">
        <v>1557430.28</v>
      </c>
      <c r="H56" s="88">
        <v>1721242.46</v>
      </c>
      <c r="I56" s="88">
        <v>1483941.66</v>
      </c>
      <c r="J56" s="88">
        <v>1346568.03</v>
      </c>
      <c r="K56" s="88">
        <v>997325.17</v>
      </c>
    </row>
    <row r="57" spans="1:11" x14ac:dyDescent="0.25">
      <c r="A57" s="234" t="s">
        <v>606</v>
      </c>
      <c r="B57" s="87" t="s">
        <v>189</v>
      </c>
      <c r="C57" s="87" t="s">
        <v>188</v>
      </c>
      <c r="D57" s="87" t="s">
        <v>12</v>
      </c>
      <c r="E57" s="88">
        <v>16253.62</v>
      </c>
      <c r="F57" s="88">
        <v>52210.62</v>
      </c>
      <c r="G57" s="88">
        <v>72099.73</v>
      </c>
      <c r="H57" s="88">
        <v>115887.99</v>
      </c>
      <c r="I57" s="88">
        <v>92959</v>
      </c>
      <c r="J57" s="88">
        <v>3609.89</v>
      </c>
      <c r="K57" s="88">
        <v>330.49</v>
      </c>
    </row>
    <row r="58" spans="1:11" x14ac:dyDescent="0.25">
      <c r="A58" s="234" t="s">
        <v>606</v>
      </c>
      <c r="B58" s="87" t="s">
        <v>187</v>
      </c>
      <c r="C58" s="87" t="s">
        <v>186</v>
      </c>
      <c r="D58" s="87" t="s">
        <v>12</v>
      </c>
      <c r="E58" s="88">
        <v>45800.160000000003</v>
      </c>
      <c r="F58" s="88">
        <v>147080.42000000001</v>
      </c>
      <c r="G58" s="88">
        <v>215861.59</v>
      </c>
      <c r="H58" s="88">
        <v>368037.98</v>
      </c>
      <c r="I58" s="88">
        <v>329251.25</v>
      </c>
      <c r="J58" s="88">
        <v>260895.09</v>
      </c>
      <c r="K58" s="88">
        <v>189573.69</v>
      </c>
    </row>
    <row r="59" spans="1:11" x14ac:dyDescent="0.25">
      <c r="A59" s="234" t="s">
        <v>606</v>
      </c>
      <c r="B59" s="87" t="s">
        <v>185</v>
      </c>
      <c r="C59" s="87" t="s">
        <v>184</v>
      </c>
      <c r="D59" s="87" t="s">
        <v>12</v>
      </c>
      <c r="E59" s="88">
        <v>278452.78999999998</v>
      </c>
      <c r="F59" s="88">
        <v>593939.55000000005</v>
      </c>
      <c r="G59" s="88">
        <v>647093.42000000004</v>
      </c>
      <c r="H59" s="88">
        <v>938566.39</v>
      </c>
      <c r="I59" s="88">
        <v>690198.77</v>
      </c>
      <c r="J59" s="88">
        <v>516161.21</v>
      </c>
      <c r="K59" s="88">
        <v>490613.61</v>
      </c>
    </row>
    <row r="60" spans="1:11" x14ac:dyDescent="0.25">
      <c r="A60" s="234" t="s">
        <v>606</v>
      </c>
      <c r="B60" s="87" t="s">
        <v>183</v>
      </c>
      <c r="C60" s="87" t="s">
        <v>182</v>
      </c>
      <c r="D60" s="87" t="s">
        <v>16</v>
      </c>
      <c r="E60" s="88">
        <v>18896.89</v>
      </c>
      <c r="F60" s="88" t="s">
        <v>298</v>
      </c>
      <c r="G60" s="88" t="s">
        <v>298</v>
      </c>
      <c r="H60" s="88" t="s">
        <v>298</v>
      </c>
      <c r="I60" s="88" t="s">
        <v>298</v>
      </c>
      <c r="J60" s="88" t="s">
        <v>298</v>
      </c>
      <c r="K60" s="88" t="s">
        <v>298</v>
      </c>
    </row>
    <row r="61" spans="1:11" x14ac:dyDescent="0.25">
      <c r="A61" s="234" t="s">
        <v>606</v>
      </c>
      <c r="B61" s="87" t="s">
        <v>181</v>
      </c>
      <c r="C61" s="87" t="s">
        <v>180</v>
      </c>
      <c r="D61" s="87" t="s">
        <v>12</v>
      </c>
      <c r="E61" s="88">
        <v>51837.98</v>
      </c>
      <c r="F61" s="88">
        <v>170172.54</v>
      </c>
      <c r="G61" s="88">
        <v>244821.98</v>
      </c>
      <c r="H61" s="88">
        <v>382154.95</v>
      </c>
      <c r="I61" s="88">
        <v>336422.66</v>
      </c>
      <c r="J61" s="88">
        <v>383631.62</v>
      </c>
      <c r="K61" s="88">
        <v>355258.03</v>
      </c>
    </row>
    <row r="62" spans="1:11" x14ac:dyDescent="0.25">
      <c r="A62" s="234" t="s">
        <v>606</v>
      </c>
      <c r="B62" s="87" t="s">
        <v>179</v>
      </c>
      <c r="C62" s="87" t="s">
        <v>178</v>
      </c>
      <c r="D62" s="87" t="s">
        <v>16</v>
      </c>
      <c r="E62" s="88" t="s">
        <v>298</v>
      </c>
      <c r="F62" s="88" t="s">
        <v>298</v>
      </c>
      <c r="G62" s="88" t="s">
        <v>298</v>
      </c>
      <c r="H62" s="88" t="s">
        <v>298</v>
      </c>
      <c r="I62" s="88" t="s">
        <v>298</v>
      </c>
      <c r="J62" s="88" t="s">
        <v>298</v>
      </c>
      <c r="K62" s="88" t="s">
        <v>298</v>
      </c>
    </row>
    <row r="63" spans="1:11" x14ac:dyDescent="0.25">
      <c r="A63" s="234" t="s">
        <v>606</v>
      </c>
      <c r="B63" s="87" t="s">
        <v>177</v>
      </c>
      <c r="C63" s="87" t="s">
        <v>176</v>
      </c>
      <c r="D63" s="87" t="s">
        <v>12</v>
      </c>
      <c r="E63" s="88">
        <v>165093.31</v>
      </c>
      <c r="F63" s="88">
        <v>421073.28</v>
      </c>
      <c r="G63" s="88">
        <v>664840.65</v>
      </c>
      <c r="H63" s="88">
        <v>863301.68</v>
      </c>
      <c r="I63" s="88">
        <v>901373.28</v>
      </c>
      <c r="J63" s="88">
        <v>970448.02</v>
      </c>
      <c r="K63" s="88">
        <v>839547.27</v>
      </c>
    </row>
    <row r="64" spans="1:11" x14ac:dyDescent="0.25">
      <c r="A64" s="234" t="s">
        <v>606</v>
      </c>
      <c r="B64" s="87" t="s">
        <v>175</v>
      </c>
      <c r="C64" s="87" t="s">
        <v>174</v>
      </c>
      <c r="D64" s="87" t="s">
        <v>12</v>
      </c>
      <c r="E64" s="88">
        <v>188787.38</v>
      </c>
      <c r="F64" s="88">
        <v>421383.28</v>
      </c>
      <c r="G64" s="88">
        <v>818116.26</v>
      </c>
      <c r="H64" s="88" t="s">
        <v>298</v>
      </c>
      <c r="I64" s="88" t="s">
        <v>298</v>
      </c>
      <c r="J64" s="88" t="s">
        <v>298</v>
      </c>
      <c r="K64" s="88" t="s">
        <v>298</v>
      </c>
    </row>
    <row r="65" spans="1:13" x14ac:dyDescent="0.25">
      <c r="A65" s="234" t="s">
        <v>606</v>
      </c>
      <c r="B65" s="87" t="s">
        <v>173</v>
      </c>
      <c r="C65" s="87" t="s">
        <v>172</v>
      </c>
      <c r="D65" s="87" t="s">
        <v>12</v>
      </c>
      <c r="E65" s="88">
        <v>64884.57</v>
      </c>
      <c r="F65" s="88">
        <v>131282.38</v>
      </c>
      <c r="G65" s="88">
        <v>134057.34</v>
      </c>
      <c r="H65" s="88">
        <v>219708.74</v>
      </c>
      <c r="I65" s="88">
        <v>223793.39</v>
      </c>
      <c r="J65" s="88">
        <v>206708.63</v>
      </c>
      <c r="K65" s="88">
        <v>224243.73</v>
      </c>
    </row>
    <row r="66" spans="1:13" x14ac:dyDescent="0.25">
      <c r="A66" s="234" t="s">
        <v>606</v>
      </c>
      <c r="B66" s="87" t="s">
        <v>171</v>
      </c>
      <c r="C66" s="87" t="s">
        <v>170</v>
      </c>
      <c r="D66" s="87" t="s">
        <v>12</v>
      </c>
      <c r="E66" s="88">
        <v>48141.68</v>
      </c>
      <c r="F66" s="88">
        <v>175338.92</v>
      </c>
      <c r="G66" s="88">
        <v>259177.55</v>
      </c>
      <c r="H66" s="88">
        <v>285625.46999999997</v>
      </c>
      <c r="I66" s="88">
        <v>266575.78000000003</v>
      </c>
      <c r="J66" s="88">
        <v>224341.03</v>
      </c>
      <c r="K66" s="88">
        <v>263713.90000000002</v>
      </c>
    </row>
    <row r="67" spans="1:13" x14ac:dyDescent="0.25">
      <c r="A67" s="234" t="s">
        <v>606</v>
      </c>
      <c r="B67" s="87" t="s">
        <v>169</v>
      </c>
      <c r="C67" s="87" t="s">
        <v>168</v>
      </c>
      <c r="D67" s="87" t="s">
        <v>12</v>
      </c>
      <c r="E67" s="88">
        <v>428205.82</v>
      </c>
      <c r="F67" s="88">
        <v>983224.44</v>
      </c>
      <c r="G67" s="88">
        <v>1999210.19</v>
      </c>
      <c r="H67" s="88">
        <v>1802899.52</v>
      </c>
      <c r="I67" s="88">
        <v>1346641.54</v>
      </c>
      <c r="J67" s="88">
        <v>933909.28</v>
      </c>
      <c r="K67" s="88">
        <v>761239.16</v>
      </c>
    </row>
    <row r="68" spans="1:13" x14ac:dyDescent="0.25">
      <c r="A68" s="234" t="s">
        <v>589</v>
      </c>
      <c r="B68" s="89" t="s">
        <v>10</v>
      </c>
      <c r="C68" s="89" t="s">
        <v>11</v>
      </c>
      <c r="D68" s="89" t="s">
        <v>12</v>
      </c>
      <c r="E68" s="90">
        <v>649254.80000000005</v>
      </c>
      <c r="F68" s="90">
        <v>1614588.12</v>
      </c>
      <c r="G68" s="90">
        <v>3006651.93</v>
      </c>
      <c r="H68" s="90">
        <v>4426286.24</v>
      </c>
      <c r="I68" s="90">
        <v>4762528.91</v>
      </c>
      <c r="J68" s="90">
        <v>4142376.36</v>
      </c>
      <c r="K68" s="90">
        <v>2514373.71</v>
      </c>
      <c r="L68" t="s">
        <v>604</v>
      </c>
      <c r="M68" s="1">
        <f>SUM(K68:K115)</f>
        <v>42230901.970000006</v>
      </c>
    </row>
    <row r="69" spans="1:13" x14ac:dyDescent="0.25">
      <c r="A69" s="234" t="s">
        <v>589</v>
      </c>
      <c r="B69" s="89" t="s">
        <v>14</v>
      </c>
      <c r="C69" s="89" t="s">
        <v>15</v>
      </c>
      <c r="D69" s="89" t="s">
        <v>16</v>
      </c>
      <c r="E69" s="90" t="s">
        <v>298</v>
      </c>
      <c r="F69" s="90" t="s">
        <v>298</v>
      </c>
      <c r="G69" s="90" t="s">
        <v>298</v>
      </c>
      <c r="H69" s="90" t="s">
        <v>298</v>
      </c>
      <c r="I69" s="90" t="s">
        <v>298</v>
      </c>
      <c r="J69" s="90" t="s">
        <v>298</v>
      </c>
      <c r="K69" s="90" t="s">
        <v>298</v>
      </c>
    </row>
    <row r="70" spans="1:13" x14ac:dyDescent="0.25">
      <c r="A70" s="234" t="s">
        <v>589</v>
      </c>
      <c r="B70" s="89" t="s">
        <v>17</v>
      </c>
      <c r="C70" s="89" t="s">
        <v>18</v>
      </c>
      <c r="D70" s="89" t="s">
        <v>12</v>
      </c>
      <c r="E70" s="90">
        <v>869026.75</v>
      </c>
      <c r="F70" s="90">
        <v>1924252.79</v>
      </c>
      <c r="G70" s="90">
        <v>1949987.94</v>
      </c>
      <c r="H70" s="90">
        <v>1936972.66</v>
      </c>
      <c r="I70" s="90">
        <v>1685481.51</v>
      </c>
      <c r="J70" s="90">
        <v>1998326.52</v>
      </c>
      <c r="K70" s="90">
        <v>1816980.49</v>
      </c>
    </row>
    <row r="71" spans="1:13" x14ac:dyDescent="0.25">
      <c r="A71" s="234" t="s">
        <v>589</v>
      </c>
      <c r="B71" s="89" t="s">
        <v>19</v>
      </c>
      <c r="C71" s="89" t="s">
        <v>20</v>
      </c>
      <c r="D71" s="89" t="s">
        <v>21</v>
      </c>
      <c r="E71" s="90">
        <v>652546.75</v>
      </c>
      <c r="F71" s="90">
        <v>657960.1</v>
      </c>
      <c r="G71" s="90">
        <v>811056.41</v>
      </c>
      <c r="H71" s="90">
        <v>1978697.71</v>
      </c>
      <c r="I71" s="90">
        <v>2387326.67</v>
      </c>
      <c r="J71" s="90">
        <v>1632774.52</v>
      </c>
      <c r="K71" s="90">
        <v>1587733.54</v>
      </c>
    </row>
    <row r="72" spans="1:13" x14ac:dyDescent="0.25">
      <c r="A72" s="234" t="s">
        <v>589</v>
      </c>
      <c r="B72" s="89" t="s">
        <v>22</v>
      </c>
      <c r="C72" s="89" t="s">
        <v>23</v>
      </c>
      <c r="D72" s="89" t="s">
        <v>12</v>
      </c>
      <c r="E72" s="90">
        <v>161512.76</v>
      </c>
      <c r="F72" s="90">
        <v>315570.40000000002</v>
      </c>
      <c r="G72" s="90">
        <v>478588.89</v>
      </c>
      <c r="H72" s="90">
        <v>768025.16</v>
      </c>
      <c r="I72" s="90">
        <v>544127.93999999994</v>
      </c>
      <c r="J72" s="90">
        <v>435073.28000000003</v>
      </c>
      <c r="K72" s="90">
        <v>374874.94</v>
      </c>
    </row>
    <row r="73" spans="1:13" x14ac:dyDescent="0.25">
      <c r="A73" s="234" t="s">
        <v>589</v>
      </c>
      <c r="B73" s="89" t="s">
        <v>24</v>
      </c>
      <c r="C73" s="89" t="s">
        <v>25</v>
      </c>
      <c r="D73" s="89" t="s">
        <v>21</v>
      </c>
      <c r="E73" s="90">
        <v>356197.77</v>
      </c>
      <c r="F73" s="90">
        <v>624108.31999999995</v>
      </c>
      <c r="G73" s="90">
        <v>759433.87</v>
      </c>
      <c r="H73" s="90">
        <v>979087.42</v>
      </c>
      <c r="I73" s="90">
        <v>917722.55</v>
      </c>
      <c r="J73" s="90">
        <v>1037821.82</v>
      </c>
      <c r="K73" s="90">
        <v>975480.95</v>
      </c>
    </row>
    <row r="74" spans="1:13" x14ac:dyDescent="0.25">
      <c r="A74" s="234" t="s">
        <v>589</v>
      </c>
      <c r="B74" s="89" t="s">
        <v>26</v>
      </c>
      <c r="C74" s="89" t="s">
        <v>27</v>
      </c>
      <c r="D74" s="89" t="s">
        <v>21</v>
      </c>
      <c r="E74" s="90">
        <v>1942467.19</v>
      </c>
      <c r="F74" s="90">
        <v>3287268.81</v>
      </c>
      <c r="G74" s="90">
        <v>2707981.66</v>
      </c>
      <c r="H74" s="90">
        <v>4407388.24</v>
      </c>
      <c r="I74" s="90">
        <v>3913632.03</v>
      </c>
      <c r="J74" s="90">
        <v>5114286.72</v>
      </c>
      <c r="K74" s="90">
        <v>1125608.82</v>
      </c>
    </row>
    <row r="75" spans="1:13" x14ac:dyDescent="0.25">
      <c r="A75" s="234" t="s">
        <v>589</v>
      </c>
      <c r="B75" s="89" t="s">
        <v>28</v>
      </c>
      <c r="C75" s="89" t="s">
        <v>29</v>
      </c>
      <c r="D75" s="89" t="s">
        <v>21</v>
      </c>
      <c r="E75" s="90">
        <v>1585450.71</v>
      </c>
      <c r="F75" s="90">
        <v>2917428.75</v>
      </c>
      <c r="G75" s="90">
        <v>3551674.6</v>
      </c>
      <c r="H75" s="90">
        <v>3777048.24</v>
      </c>
      <c r="I75" s="90">
        <v>3090374.58</v>
      </c>
      <c r="J75" s="90">
        <v>2279346.11</v>
      </c>
      <c r="K75" s="90">
        <v>1632052.25</v>
      </c>
    </row>
    <row r="76" spans="1:13" x14ac:dyDescent="0.25">
      <c r="A76" s="234" t="s">
        <v>589</v>
      </c>
      <c r="B76" s="89" t="s">
        <v>30</v>
      </c>
      <c r="C76" s="89" t="s">
        <v>31</v>
      </c>
      <c r="D76" s="89" t="s">
        <v>21</v>
      </c>
      <c r="E76" s="90">
        <v>803297.53</v>
      </c>
      <c r="F76" s="90">
        <v>1338946.43</v>
      </c>
      <c r="G76" s="90">
        <v>1495423.56</v>
      </c>
      <c r="H76" s="90">
        <v>1744836</v>
      </c>
      <c r="I76" s="90">
        <v>1417908.72</v>
      </c>
      <c r="J76" s="90">
        <v>1366944.51</v>
      </c>
      <c r="K76" s="90">
        <v>963107.58</v>
      </c>
    </row>
    <row r="77" spans="1:13" x14ac:dyDescent="0.25">
      <c r="A77" s="234" t="s">
        <v>589</v>
      </c>
      <c r="B77" s="89" t="s">
        <v>32</v>
      </c>
      <c r="C77" s="89" t="s">
        <v>33</v>
      </c>
      <c r="D77" s="89" t="s">
        <v>21</v>
      </c>
      <c r="E77" s="90">
        <v>939000.12</v>
      </c>
      <c r="F77" s="90">
        <v>1881683.11</v>
      </c>
      <c r="G77" s="90">
        <v>2245760.96</v>
      </c>
      <c r="H77" s="90">
        <v>2282782.4</v>
      </c>
      <c r="I77" s="90">
        <v>1954424.35</v>
      </c>
      <c r="J77" s="90">
        <v>1461298.53</v>
      </c>
      <c r="K77" s="90">
        <v>1386229.87</v>
      </c>
    </row>
    <row r="78" spans="1:13" x14ac:dyDescent="0.25">
      <c r="A78" s="234" t="s">
        <v>589</v>
      </c>
      <c r="B78" s="89" t="s">
        <v>34</v>
      </c>
      <c r="C78" s="89" t="s">
        <v>35</v>
      </c>
      <c r="D78" s="89" t="s">
        <v>21</v>
      </c>
      <c r="E78" s="90">
        <v>1327585.81</v>
      </c>
      <c r="F78" s="90">
        <v>2261820.56</v>
      </c>
      <c r="G78" s="90">
        <v>2416229.31</v>
      </c>
      <c r="H78" s="90">
        <v>3166213.98</v>
      </c>
      <c r="I78" s="90">
        <v>3736753.93</v>
      </c>
      <c r="J78" s="90">
        <v>2532241.2400000002</v>
      </c>
      <c r="K78" s="90">
        <v>2029622.12</v>
      </c>
    </row>
    <row r="79" spans="1:13" x14ac:dyDescent="0.25">
      <c r="A79" s="234" t="s">
        <v>589</v>
      </c>
      <c r="B79" s="89" t="s">
        <v>36</v>
      </c>
      <c r="C79" s="89" t="s">
        <v>37</v>
      </c>
      <c r="D79" s="89" t="s">
        <v>21</v>
      </c>
      <c r="E79" s="90">
        <v>417204.2</v>
      </c>
      <c r="F79" s="90">
        <v>598832.35</v>
      </c>
      <c r="G79" s="90">
        <v>729839.95</v>
      </c>
      <c r="H79" s="90">
        <v>921140.11</v>
      </c>
      <c r="I79" s="90">
        <v>872227.65</v>
      </c>
      <c r="J79" s="90">
        <v>744379.87</v>
      </c>
      <c r="K79" s="90">
        <v>695185.3</v>
      </c>
    </row>
    <row r="80" spans="1:13" x14ac:dyDescent="0.25">
      <c r="A80" s="234" t="s">
        <v>589</v>
      </c>
      <c r="B80" s="89" t="s">
        <v>38</v>
      </c>
      <c r="C80" s="89" t="s">
        <v>39</v>
      </c>
      <c r="D80" s="89" t="s">
        <v>12</v>
      </c>
      <c r="E80" s="90">
        <v>144890.51999999999</v>
      </c>
      <c r="F80" s="90">
        <v>302060.03000000003</v>
      </c>
      <c r="G80" s="90">
        <v>499099.93</v>
      </c>
      <c r="H80" s="90">
        <v>587935.76</v>
      </c>
      <c r="I80" s="90">
        <v>560744.35</v>
      </c>
      <c r="J80" s="90">
        <v>329295.19</v>
      </c>
      <c r="K80" s="90">
        <v>238790</v>
      </c>
    </row>
    <row r="81" spans="1:11" x14ac:dyDescent="0.25">
      <c r="A81" s="234" t="s">
        <v>589</v>
      </c>
      <c r="B81" s="89" t="s">
        <v>40</v>
      </c>
      <c r="C81" s="89" t="s">
        <v>41</v>
      </c>
      <c r="D81" s="89" t="s">
        <v>21</v>
      </c>
      <c r="E81" s="90">
        <v>867528.86</v>
      </c>
      <c r="F81" s="90">
        <v>1664724.09</v>
      </c>
      <c r="G81" s="90">
        <v>2496280</v>
      </c>
      <c r="H81" s="90">
        <v>2299900.52</v>
      </c>
      <c r="I81" s="90">
        <v>1920332.63</v>
      </c>
      <c r="J81" s="90">
        <v>1249465.07</v>
      </c>
      <c r="K81" s="90">
        <v>1168930.25</v>
      </c>
    </row>
    <row r="82" spans="1:11" x14ac:dyDescent="0.25">
      <c r="A82" s="234" t="s">
        <v>589</v>
      </c>
      <c r="B82" s="89" t="s">
        <v>42</v>
      </c>
      <c r="C82" s="89" t="s">
        <v>43</v>
      </c>
      <c r="D82" s="89" t="s">
        <v>21</v>
      </c>
      <c r="E82" s="90">
        <v>535849.79</v>
      </c>
      <c r="F82" s="90">
        <v>1175604.46</v>
      </c>
      <c r="G82" s="90">
        <v>1966378.46</v>
      </c>
      <c r="H82" s="90">
        <v>2010769.26</v>
      </c>
      <c r="I82" s="90">
        <v>1772881.89</v>
      </c>
      <c r="J82" s="90">
        <v>1344802.34</v>
      </c>
      <c r="K82" s="90">
        <v>1016964.59</v>
      </c>
    </row>
    <row r="83" spans="1:11" x14ac:dyDescent="0.25">
      <c r="A83" s="234" t="s">
        <v>589</v>
      </c>
      <c r="B83" s="89" t="s">
        <v>44</v>
      </c>
      <c r="C83" s="89" t="s">
        <v>45</v>
      </c>
      <c r="D83" s="89" t="s">
        <v>21</v>
      </c>
      <c r="E83" s="90">
        <v>413838.77</v>
      </c>
      <c r="F83" s="90">
        <v>730051.12</v>
      </c>
      <c r="G83" s="90">
        <v>893754.37</v>
      </c>
      <c r="H83" s="90">
        <v>965239.59</v>
      </c>
      <c r="I83" s="90">
        <v>762941.03</v>
      </c>
      <c r="J83" s="90">
        <v>547821.56999999995</v>
      </c>
      <c r="K83" s="90">
        <v>381274.8</v>
      </c>
    </row>
    <row r="84" spans="1:11" x14ac:dyDescent="0.25">
      <c r="A84" s="234" t="s">
        <v>589</v>
      </c>
      <c r="B84" s="89" t="s">
        <v>46</v>
      </c>
      <c r="C84" s="89" t="s">
        <v>47</v>
      </c>
      <c r="D84" s="89" t="s">
        <v>12</v>
      </c>
      <c r="E84" s="90">
        <v>210169.49</v>
      </c>
      <c r="F84" s="90">
        <v>603545.84</v>
      </c>
      <c r="G84" s="90">
        <v>1309565.6299999999</v>
      </c>
      <c r="H84" s="90">
        <v>2986935.14</v>
      </c>
      <c r="I84" s="90">
        <v>3324977.15</v>
      </c>
      <c r="J84" s="90">
        <v>3259537.67</v>
      </c>
      <c r="K84" s="90">
        <v>4706224.71</v>
      </c>
    </row>
    <row r="85" spans="1:11" x14ac:dyDescent="0.25">
      <c r="A85" s="234" t="s">
        <v>589</v>
      </c>
      <c r="B85" s="89" t="s">
        <v>48</v>
      </c>
      <c r="C85" s="89" t="s">
        <v>49</v>
      </c>
      <c r="D85" s="89" t="s">
        <v>21</v>
      </c>
      <c r="E85" s="90">
        <v>240031.06</v>
      </c>
      <c r="F85" s="90">
        <v>317044.42</v>
      </c>
      <c r="G85" s="90">
        <v>411390.13</v>
      </c>
      <c r="H85" s="90">
        <v>617095.62</v>
      </c>
      <c r="I85" s="90">
        <v>879094.34</v>
      </c>
      <c r="J85" s="90">
        <v>492347.27</v>
      </c>
      <c r="K85" s="90">
        <v>341338.76</v>
      </c>
    </row>
    <row r="86" spans="1:11" x14ac:dyDescent="0.25">
      <c r="A86" s="234" t="s">
        <v>589</v>
      </c>
      <c r="B86" s="89" t="s">
        <v>50</v>
      </c>
      <c r="C86" s="89" t="s">
        <v>51</v>
      </c>
      <c r="D86" s="89" t="s">
        <v>12</v>
      </c>
      <c r="E86" s="90">
        <v>270575.90000000002</v>
      </c>
      <c r="F86" s="90">
        <v>490109.12</v>
      </c>
      <c r="G86" s="90">
        <v>616949.76000000001</v>
      </c>
      <c r="H86" s="90">
        <v>657708.23</v>
      </c>
      <c r="I86" s="90" t="s">
        <v>298</v>
      </c>
      <c r="J86" s="90" t="s">
        <v>298</v>
      </c>
      <c r="K86" s="90" t="s">
        <v>298</v>
      </c>
    </row>
    <row r="87" spans="1:11" x14ac:dyDescent="0.25">
      <c r="A87" s="234" t="s">
        <v>589</v>
      </c>
      <c r="B87" s="89" t="s">
        <v>52</v>
      </c>
      <c r="C87" s="89" t="s">
        <v>53</v>
      </c>
      <c r="D87" s="89" t="s">
        <v>21</v>
      </c>
      <c r="E87" s="90">
        <v>140983.20000000001</v>
      </c>
      <c r="F87" s="90">
        <v>257265.01</v>
      </c>
      <c r="G87" s="90">
        <v>185810.89</v>
      </c>
      <c r="H87" s="90">
        <v>588454.37</v>
      </c>
      <c r="I87" s="90">
        <v>1066248.75</v>
      </c>
      <c r="J87" s="90">
        <v>692862.99</v>
      </c>
      <c r="K87" s="90">
        <v>563290.39</v>
      </c>
    </row>
    <row r="88" spans="1:11" x14ac:dyDescent="0.25">
      <c r="A88" s="234" t="s">
        <v>589</v>
      </c>
      <c r="B88" s="89" t="s">
        <v>54</v>
      </c>
      <c r="C88" s="89" t="s">
        <v>55</v>
      </c>
      <c r="D88" s="89" t="s">
        <v>21</v>
      </c>
      <c r="E88" s="90">
        <v>2069284.06</v>
      </c>
      <c r="F88" s="90">
        <v>2554276.7599999998</v>
      </c>
      <c r="G88" s="90">
        <v>4171084.84</v>
      </c>
      <c r="H88" s="90">
        <v>4466863.0599999996</v>
      </c>
      <c r="I88" s="90">
        <v>4213924.2</v>
      </c>
      <c r="J88" s="90">
        <v>4466076.42</v>
      </c>
      <c r="K88" s="90">
        <v>2243145.56</v>
      </c>
    </row>
    <row r="89" spans="1:11" x14ac:dyDescent="0.25">
      <c r="A89" s="234" t="s">
        <v>589</v>
      </c>
      <c r="B89" s="89" t="s">
        <v>56</v>
      </c>
      <c r="C89" s="89" t="s">
        <v>57</v>
      </c>
      <c r="D89" s="89" t="s">
        <v>21</v>
      </c>
      <c r="E89" s="90">
        <v>351966.63</v>
      </c>
      <c r="F89" s="90">
        <v>858964.52</v>
      </c>
      <c r="G89" s="90">
        <v>947016.62</v>
      </c>
      <c r="H89" s="90">
        <v>1045776.32</v>
      </c>
      <c r="I89" s="90">
        <v>900544.74</v>
      </c>
      <c r="J89" s="90">
        <v>692523.69</v>
      </c>
      <c r="K89" s="90">
        <v>722540.39</v>
      </c>
    </row>
    <row r="90" spans="1:11" x14ac:dyDescent="0.25">
      <c r="A90" s="234" t="s">
        <v>589</v>
      </c>
      <c r="B90" s="89" t="s">
        <v>58</v>
      </c>
      <c r="C90" s="89" t="s">
        <v>59</v>
      </c>
      <c r="D90" s="89" t="s">
        <v>21</v>
      </c>
      <c r="E90" s="90">
        <v>430447.61</v>
      </c>
      <c r="F90" s="90">
        <v>925966.11</v>
      </c>
      <c r="G90" s="90">
        <v>1104695.08</v>
      </c>
      <c r="H90" s="90">
        <v>1450087.7</v>
      </c>
      <c r="I90" s="90">
        <v>1521366.15</v>
      </c>
      <c r="J90" s="90">
        <v>2009263.74</v>
      </c>
      <c r="K90" s="90">
        <v>1170544.79</v>
      </c>
    </row>
    <row r="91" spans="1:11" x14ac:dyDescent="0.25">
      <c r="A91" s="234" t="s">
        <v>589</v>
      </c>
      <c r="B91" s="89" t="s">
        <v>60</v>
      </c>
      <c r="C91" s="89" t="s">
        <v>61</v>
      </c>
      <c r="D91" s="89" t="s">
        <v>21</v>
      </c>
      <c r="E91" s="90">
        <v>1169578.29</v>
      </c>
      <c r="F91" s="90">
        <v>1616805.58</v>
      </c>
      <c r="G91" s="90">
        <v>1790331.51</v>
      </c>
      <c r="H91" s="90">
        <v>2752222.63</v>
      </c>
      <c r="I91" s="90">
        <v>2096775.28</v>
      </c>
      <c r="J91" s="90">
        <v>1495994.42</v>
      </c>
      <c r="K91" s="90">
        <v>1956589.2</v>
      </c>
    </row>
    <row r="92" spans="1:11" x14ac:dyDescent="0.25">
      <c r="A92" s="234" t="s">
        <v>589</v>
      </c>
      <c r="B92" s="89" t="s">
        <v>62</v>
      </c>
      <c r="C92" s="89" t="s">
        <v>63</v>
      </c>
      <c r="D92" s="89" t="s">
        <v>21</v>
      </c>
      <c r="E92" s="90">
        <v>1844085.39</v>
      </c>
      <c r="F92" s="90">
        <v>2641740.2799999998</v>
      </c>
      <c r="G92" s="90">
        <v>3780494.79</v>
      </c>
      <c r="H92" s="90">
        <v>4150019.64</v>
      </c>
      <c r="I92" s="90">
        <v>4868935.8899999997</v>
      </c>
      <c r="J92" s="90">
        <v>3549885.3</v>
      </c>
      <c r="K92" s="90">
        <v>3400311.88</v>
      </c>
    </row>
    <row r="93" spans="1:11" x14ac:dyDescent="0.25">
      <c r="A93" s="234" t="s">
        <v>589</v>
      </c>
      <c r="B93" s="89" t="s">
        <v>64</v>
      </c>
      <c r="C93" s="89" t="s">
        <v>65</v>
      </c>
      <c r="D93" s="89" t="s">
        <v>21</v>
      </c>
      <c r="E93" s="90">
        <v>582724.88</v>
      </c>
      <c r="F93" s="90">
        <v>934011.55</v>
      </c>
      <c r="G93" s="90">
        <v>1107031.17</v>
      </c>
      <c r="H93" s="90">
        <v>1167420.98</v>
      </c>
      <c r="I93" s="90">
        <v>839461.86</v>
      </c>
      <c r="J93" s="90">
        <v>1092622.3899999999</v>
      </c>
      <c r="K93" s="90">
        <v>805363.51</v>
      </c>
    </row>
    <row r="94" spans="1:11" x14ac:dyDescent="0.25">
      <c r="A94" s="234" t="s">
        <v>589</v>
      </c>
      <c r="B94" s="89" t="s">
        <v>66</v>
      </c>
      <c r="C94" s="89" t="s">
        <v>67</v>
      </c>
      <c r="D94" s="89" t="s">
        <v>21</v>
      </c>
      <c r="E94" s="90">
        <v>178282.43</v>
      </c>
      <c r="F94" s="90">
        <v>261380.06</v>
      </c>
      <c r="G94" s="90">
        <v>587407.4</v>
      </c>
      <c r="H94" s="90">
        <v>610352.5</v>
      </c>
      <c r="I94" s="90">
        <v>1392480.9</v>
      </c>
      <c r="J94" s="90">
        <v>932365.75</v>
      </c>
      <c r="K94" s="90">
        <v>824429.1</v>
      </c>
    </row>
    <row r="95" spans="1:11" x14ac:dyDescent="0.25">
      <c r="A95" s="234" t="s">
        <v>589</v>
      </c>
      <c r="B95" s="89" t="s">
        <v>68</v>
      </c>
      <c r="C95" s="89" t="s">
        <v>69</v>
      </c>
      <c r="D95" s="89" t="s">
        <v>12</v>
      </c>
      <c r="E95" s="90">
        <v>139568.09</v>
      </c>
      <c r="F95" s="90">
        <v>309853.75</v>
      </c>
      <c r="G95" s="90">
        <v>393721.52</v>
      </c>
      <c r="H95" s="90">
        <v>327377.93</v>
      </c>
      <c r="I95" s="90">
        <v>493136.02</v>
      </c>
      <c r="J95" s="90">
        <v>1027471.74</v>
      </c>
      <c r="K95" s="90">
        <v>1046966.67</v>
      </c>
    </row>
    <row r="96" spans="1:11" s="120" customFormat="1" x14ac:dyDescent="0.25">
      <c r="A96" s="234" t="s">
        <v>589</v>
      </c>
      <c r="B96" s="118" t="s">
        <v>70</v>
      </c>
      <c r="C96" s="118" t="s">
        <v>602</v>
      </c>
      <c r="D96" s="118" t="s">
        <v>21</v>
      </c>
      <c r="E96" s="119">
        <v>1576437.02</v>
      </c>
      <c r="F96" s="119">
        <v>2441555.44</v>
      </c>
      <c r="G96" s="119">
        <v>5290493.4800000004</v>
      </c>
      <c r="H96" s="119">
        <v>6254557.4800000004</v>
      </c>
      <c r="I96" s="119">
        <v>5321738.5</v>
      </c>
      <c r="J96" s="119">
        <v>4936184.01</v>
      </c>
      <c r="K96" s="119">
        <v>0</v>
      </c>
    </row>
    <row r="97" spans="1:11" x14ac:dyDescent="0.25">
      <c r="A97" s="234" t="s">
        <v>589</v>
      </c>
      <c r="B97" s="89" t="s">
        <v>71</v>
      </c>
      <c r="C97" s="89" t="s">
        <v>72</v>
      </c>
      <c r="D97" s="89" t="s">
        <v>21</v>
      </c>
      <c r="E97" s="90">
        <v>1594492.59</v>
      </c>
      <c r="F97" s="90">
        <v>1633655.35</v>
      </c>
      <c r="G97" s="90">
        <v>3742473.31</v>
      </c>
      <c r="H97" s="90">
        <v>5042106.3899999997</v>
      </c>
      <c r="I97" s="90">
        <v>3689094.82</v>
      </c>
      <c r="J97" s="90">
        <v>3281202.84</v>
      </c>
      <c r="K97" s="90">
        <v>2900746.22</v>
      </c>
    </row>
    <row r="98" spans="1:11" x14ac:dyDescent="0.25">
      <c r="A98" s="234" t="s">
        <v>589</v>
      </c>
      <c r="B98" s="89" t="s">
        <v>73</v>
      </c>
      <c r="C98" s="89" t="s">
        <v>74</v>
      </c>
      <c r="D98" s="89" t="s">
        <v>21</v>
      </c>
      <c r="E98" s="90">
        <v>24759.66</v>
      </c>
      <c r="F98" s="90">
        <v>18385.650000000001</v>
      </c>
      <c r="G98" s="90">
        <v>23277.51</v>
      </c>
      <c r="H98" s="90">
        <v>52104.95</v>
      </c>
      <c r="I98" s="90">
        <v>47555.58</v>
      </c>
      <c r="J98" s="90">
        <v>26217.85</v>
      </c>
      <c r="K98" s="90">
        <v>29479.99</v>
      </c>
    </row>
    <row r="99" spans="1:11" x14ac:dyDescent="0.25">
      <c r="A99" s="234" t="s">
        <v>589</v>
      </c>
      <c r="B99" s="89" t="s">
        <v>75</v>
      </c>
      <c r="C99" s="89" t="s">
        <v>76</v>
      </c>
      <c r="D99" s="89" t="s">
        <v>16</v>
      </c>
      <c r="E99" s="90" t="s">
        <v>298</v>
      </c>
      <c r="F99" s="90" t="s">
        <v>298</v>
      </c>
      <c r="G99" s="90" t="s">
        <v>298</v>
      </c>
      <c r="H99" s="90" t="s">
        <v>298</v>
      </c>
      <c r="I99" s="90" t="s">
        <v>298</v>
      </c>
      <c r="J99" s="90" t="s">
        <v>298</v>
      </c>
      <c r="K99" s="90" t="s">
        <v>298</v>
      </c>
    </row>
    <row r="100" spans="1:11" x14ac:dyDescent="0.25">
      <c r="A100" s="234" t="s">
        <v>589</v>
      </c>
      <c r="B100" s="89" t="s">
        <v>77</v>
      </c>
      <c r="C100" s="89" t="s">
        <v>78</v>
      </c>
      <c r="D100" s="89" t="s">
        <v>16</v>
      </c>
      <c r="E100" s="90" t="s">
        <v>298</v>
      </c>
      <c r="F100" s="90" t="s">
        <v>298</v>
      </c>
      <c r="G100" s="90" t="s">
        <v>298</v>
      </c>
      <c r="H100" s="90" t="s">
        <v>298</v>
      </c>
      <c r="I100" s="90" t="s">
        <v>298</v>
      </c>
      <c r="J100" s="90" t="s">
        <v>298</v>
      </c>
      <c r="K100" s="90" t="s">
        <v>298</v>
      </c>
    </row>
    <row r="101" spans="1:11" x14ac:dyDescent="0.25">
      <c r="A101" s="234" t="s">
        <v>589</v>
      </c>
      <c r="B101" s="89" t="s">
        <v>79</v>
      </c>
      <c r="C101" s="89" t="s">
        <v>80</v>
      </c>
      <c r="D101" s="89" t="s">
        <v>16</v>
      </c>
      <c r="E101" s="90" t="s">
        <v>298</v>
      </c>
      <c r="F101" s="90" t="s">
        <v>298</v>
      </c>
      <c r="G101" s="90" t="s">
        <v>298</v>
      </c>
      <c r="H101" s="90" t="s">
        <v>298</v>
      </c>
      <c r="I101" s="90" t="s">
        <v>298</v>
      </c>
      <c r="J101" s="90" t="s">
        <v>298</v>
      </c>
      <c r="K101" s="90" t="s">
        <v>298</v>
      </c>
    </row>
    <row r="102" spans="1:11" x14ac:dyDescent="0.25">
      <c r="A102" s="234" t="s">
        <v>589</v>
      </c>
      <c r="B102" s="89" t="s">
        <v>81</v>
      </c>
      <c r="C102" s="89" t="s">
        <v>82</v>
      </c>
      <c r="D102" s="89" t="s">
        <v>16</v>
      </c>
      <c r="E102" s="90">
        <v>62670.33</v>
      </c>
      <c r="F102" s="90" t="s">
        <v>298</v>
      </c>
      <c r="G102" s="90" t="s">
        <v>298</v>
      </c>
      <c r="H102" s="90" t="s">
        <v>298</v>
      </c>
      <c r="I102" s="90" t="s">
        <v>298</v>
      </c>
      <c r="J102" s="90" t="s">
        <v>298</v>
      </c>
      <c r="K102" s="90" t="s">
        <v>298</v>
      </c>
    </row>
    <row r="103" spans="1:11" x14ac:dyDescent="0.25">
      <c r="A103" s="234" t="s">
        <v>589</v>
      </c>
      <c r="B103" s="89" t="s">
        <v>83</v>
      </c>
      <c r="C103" s="89" t="s">
        <v>84</v>
      </c>
      <c r="D103" s="89" t="s">
        <v>16</v>
      </c>
      <c r="E103" s="90">
        <v>75584.63</v>
      </c>
      <c r="F103" s="90" t="s">
        <v>298</v>
      </c>
      <c r="G103" s="90" t="s">
        <v>298</v>
      </c>
      <c r="H103" s="90" t="s">
        <v>298</v>
      </c>
      <c r="I103" s="90" t="s">
        <v>298</v>
      </c>
      <c r="J103" s="90" t="s">
        <v>298</v>
      </c>
      <c r="K103" s="90" t="s">
        <v>298</v>
      </c>
    </row>
    <row r="104" spans="1:11" x14ac:dyDescent="0.25">
      <c r="A104" s="234" t="s">
        <v>589</v>
      </c>
      <c r="B104" s="89" t="s">
        <v>85</v>
      </c>
      <c r="C104" s="89" t="s">
        <v>86</v>
      </c>
      <c r="D104" s="89" t="s">
        <v>12</v>
      </c>
      <c r="E104" s="90">
        <v>53834.76</v>
      </c>
      <c r="F104" s="90">
        <v>251535.03</v>
      </c>
      <c r="G104" s="90">
        <v>430870.31</v>
      </c>
      <c r="H104" s="90">
        <v>346951.85</v>
      </c>
      <c r="I104" s="90">
        <v>250817.62</v>
      </c>
      <c r="J104" s="90">
        <v>218178.91</v>
      </c>
      <c r="K104" s="90">
        <v>178231.14</v>
      </c>
    </row>
    <row r="105" spans="1:11" x14ac:dyDescent="0.25">
      <c r="A105" s="234" t="s">
        <v>589</v>
      </c>
      <c r="B105" s="89" t="s">
        <v>87</v>
      </c>
      <c r="C105" s="89" t="s">
        <v>88</v>
      </c>
      <c r="D105" s="89" t="s">
        <v>16</v>
      </c>
      <c r="E105" s="90" t="s">
        <v>298</v>
      </c>
      <c r="F105" s="90" t="s">
        <v>298</v>
      </c>
      <c r="G105" s="90" t="s">
        <v>298</v>
      </c>
      <c r="H105" s="90" t="s">
        <v>298</v>
      </c>
      <c r="I105" s="90" t="s">
        <v>298</v>
      </c>
      <c r="J105" s="90" t="s">
        <v>298</v>
      </c>
      <c r="K105" s="90" t="s">
        <v>298</v>
      </c>
    </row>
    <row r="106" spans="1:11" x14ac:dyDescent="0.25">
      <c r="A106" s="234" t="s">
        <v>589</v>
      </c>
      <c r="B106" s="89" t="s">
        <v>89</v>
      </c>
      <c r="C106" s="89" t="s">
        <v>90</v>
      </c>
      <c r="D106" s="89" t="s">
        <v>16</v>
      </c>
      <c r="E106" s="90" t="s">
        <v>298</v>
      </c>
      <c r="F106" s="90" t="s">
        <v>298</v>
      </c>
      <c r="G106" s="90" t="s">
        <v>298</v>
      </c>
      <c r="H106" s="90" t="s">
        <v>298</v>
      </c>
      <c r="I106" s="90" t="s">
        <v>298</v>
      </c>
      <c r="J106" s="90" t="s">
        <v>298</v>
      </c>
      <c r="K106" s="90" t="s">
        <v>298</v>
      </c>
    </row>
    <row r="107" spans="1:11" x14ac:dyDescent="0.25">
      <c r="A107" s="234" t="s">
        <v>589</v>
      </c>
      <c r="B107" s="89" t="s">
        <v>91</v>
      </c>
      <c r="C107" s="89" t="s">
        <v>92</v>
      </c>
      <c r="D107" s="89" t="s">
        <v>12</v>
      </c>
      <c r="E107" s="90">
        <v>317245.28000000003</v>
      </c>
      <c r="F107" s="90">
        <v>499859.63</v>
      </c>
      <c r="G107" s="90">
        <v>1252093.2</v>
      </c>
      <c r="H107" s="90" t="s">
        <v>298</v>
      </c>
      <c r="I107" s="90" t="s">
        <v>298</v>
      </c>
      <c r="J107" s="90" t="s">
        <v>298</v>
      </c>
      <c r="K107" s="90" t="s">
        <v>298</v>
      </c>
    </row>
    <row r="108" spans="1:11" x14ac:dyDescent="0.25">
      <c r="A108" s="234" t="s">
        <v>589</v>
      </c>
      <c r="B108" s="89" t="s">
        <v>93</v>
      </c>
      <c r="C108" s="89" t="s">
        <v>94</v>
      </c>
      <c r="D108" s="89" t="s">
        <v>16</v>
      </c>
      <c r="E108" s="90" t="s">
        <v>298</v>
      </c>
      <c r="F108" s="90" t="s">
        <v>298</v>
      </c>
      <c r="G108" s="90" t="s">
        <v>298</v>
      </c>
      <c r="H108" s="90" t="s">
        <v>298</v>
      </c>
      <c r="I108" s="90" t="s">
        <v>298</v>
      </c>
      <c r="J108" s="90" t="s">
        <v>298</v>
      </c>
      <c r="K108" s="90" t="s">
        <v>298</v>
      </c>
    </row>
    <row r="109" spans="1:11" x14ac:dyDescent="0.25">
      <c r="A109" s="234" t="s">
        <v>589</v>
      </c>
      <c r="B109" s="89" t="s">
        <v>95</v>
      </c>
      <c r="C109" s="89" t="s">
        <v>96</v>
      </c>
      <c r="D109" s="89" t="s">
        <v>16</v>
      </c>
      <c r="E109" s="90" t="s">
        <v>298</v>
      </c>
      <c r="F109" s="90" t="s">
        <v>298</v>
      </c>
      <c r="G109" s="90" t="s">
        <v>298</v>
      </c>
      <c r="H109" s="90" t="s">
        <v>298</v>
      </c>
      <c r="I109" s="90" t="s">
        <v>298</v>
      </c>
      <c r="J109" s="90" t="s">
        <v>298</v>
      </c>
      <c r="K109" s="90" t="s">
        <v>298</v>
      </c>
    </row>
    <row r="110" spans="1:11" x14ac:dyDescent="0.25">
      <c r="A110" s="234" t="s">
        <v>589</v>
      </c>
      <c r="B110" s="89" t="s">
        <v>97</v>
      </c>
      <c r="C110" s="89" t="s">
        <v>98</v>
      </c>
      <c r="D110" s="89" t="s">
        <v>16</v>
      </c>
      <c r="E110" s="90" t="s">
        <v>298</v>
      </c>
      <c r="F110" s="90" t="s">
        <v>298</v>
      </c>
      <c r="G110" s="90" t="s">
        <v>298</v>
      </c>
      <c r="H110" s="90" t="s">
        <v>298</v>
      </c>
      <c r="I110" s="90" t="s">
        <v>298</v>
      </c>
      <c r="J110" s="90" t="s">
        <v>298</v>
      </c>
      <c r="K110" s="90" t="s">
        <v>298</v>
      </c>
    </row>
    <row r="111" spans="1:11" x14ac:dyDescent="0.25">
      <c r="A111" s="234" t="s">
        <v>589</v>
      </c>
      <c r="B111" s="89" t="s">
        <v>99</v>
      </c>
      <c r="C111" s="89" t="s">
        <v>100</v>
      </c>
      <c r="D111" s="89" t="s">
        <v>12</v>
      </c>
      <c r="E111" s="90">
        <v>247281.84</v>
      </c>
      <c r="F111" s="90">
        <v>275253.94</v>
      </c>
      <c r="G111" s="90">
        <v>447172.08</v>
      </c>
      <c r="H111" s="90">
        <v>661353.17000000004</v>
      </c>
      <c r="I111" s="90">
        <v>521060.38</v>
      </c>
      <c r="J111" s="90">
        <v>344218.65</v>
      </c>
      <c r="K111" s="90">
        <v>555051.37</v>
      </c>
    </row>
    <row r="112" spans="1:11" x14ac:dyDescent="0.25">
      <c r="A112" s="234" t="s">
        <v>589</v>
      </c>
      <c r="B112" s="89" t="s">
        <v>101</v>
      </c>
      <c r="C112" s="89" t="s">
        <v>102</v>
      </c>
      <c r="D112" s="89" t="s">
        <v>21</v>
      </c>
      <c r="E112" s="90">
        <v>399520.69</v>
      </c>
      <c r="F112" s="90">
        <v>666311.1</v>
      </c>
      <c r="G112" s="90">
        <v>991639.89</v>
      </c>
      <c r="H112" s="90">
        <v>1151663.27</v>
      </c>
      <c r="I112" s="90">
        <v>1026509.96</v>
      </c>
      <c r="J112" s="90">
        <v>1134417.3700000001</v>
      </c>
      <c r="K112" s="90">
        <v>2243329.69</v>
      </c>
    </row>
    <row r="113" spans="1:13" x14ac:dyDescent="0.25">
      <c r="A113" s="234" t="s">
        <v>589</v>
      </c>
      <c r="B113" s="89" t="s">
        <v>103</v>
      </c>
      <c r="C113" s="89" t="s">
        <v>104</v>
      </c>
      <c r="D113" s="89" t="s">
        <v>12</v>
      </c>
      <c r="E113" s="90">
        <v>94197.19</v>
      </c>
      <c r="F113" s="90">
        <v>90750.2</v>
      </c>
      <c r="G113" s="90">
        <v>153869.74</v>
      </c>
      <c r="H113" s="90">
        <v>154163.97</v>
      </c>
      <c r="I113" s="90">
        <v>186227.57</v>
      </c>
      <c r="J113" s="90">
        <v>153689.29999999999</v>
      </c>
      <c r="K113" s="90">
        <v>202738.15</v>
      </c>
    </row>
    <row r="114" spans="1:13" x14ac:dyDescent="0.25">
      <c r="A114" s="234" t="s">
        <v>589</v>
      </c>
      <c r="B114" s="89" t="s">
        <v>105</v>
      </c>
      <c r="C114" s="89" t="s">
        <v>106</v>
      </c>
      <c r="D114" s="89" t="s">
        <v>16</v>
      </c>
      <c r="E114" s="90" t="s">
        <v>298</v>
      </c>
      <c r="F114" s="90" t="s">
        <v>298</v>
      </c>
      <c r="G114" s="90" t="s">
        <v>298</v>
      </c>
      <c r="H114" s="90" t="s">
        <v>298</v>
      </c>
      <c r="I114" s="90" t="s">
        <v>298</v>
      </c>
      <c r="J114" s="90" t="s">
        <v>298</v>
      </c>
      <c r="K114" s="90">
        <v>38048.78</v>
      </c>
    </row>
    <row r="115" spans="1:13" x14ac:dyDescent="0.25">
      <c r="A115" s="234" t="s">
        <v>589</v>
      </c>
      <c r="B115" s="89" t="s">
        <v>107</v>
      </c>
      <c r="C115" s="89" t="s">
        <v>108</v>
      </c>
      <c r="D115" s="89" t="s">
        <v>21</v>
      </c>
      <c r="E115" s="90">
        <v>4681.57</v>
      </c>
      <c r="F115" s="90">
        <v>48284.32</v>
      </c>
      <c r="G115" s="90">
        <v>7476.04</v>
      </c>
      <c r="H115" s="90">
        <v>68024.740000000005</v>
      </c>
      <c r="I115" s="90">
        <v>370107.11</v>
      </c>
      <c r="J115" s="90">
        <v>382897.5</v>
      </c>
      <c r="K115" s="90">
        <v>395322.46</v>
      </c>
    </row>
    <row r="116" spans="1:13" x14ac:dyDescent="0.25">
      <c r="A116" s="234" t="s">
        <v>590</v>
      </c>
      <c r="B116" s="91" t="s">
        <v>110</v>
      </c>
      <c r="C116" s="91" t="s">
        <v>111</v>
      </c>
      <c r="D116" s="91" t="s">
        <v>21</v>
      </c>
      <c r="E116" s="92">
        <v>212151.38</v>
      </c>
      <c r="F116" s="92">
        <v>267399.38</v>
      </c>
      <c r="G116" s="92">
        <v>425026.25</v>
      </c>
      <c r="H116" s="92">
        <v>364631.47</v>
      </c>
      <c r="I116" s="92">
        <v>308398.39</v>
      </c>
      <c r="J116" s="92">
        <v>321081.73</v>
      </c>
      <c r="K116" s="92">
        <v>254375.22</v>
      </c>
      <c r="L116" t="s">
        <v>605</v>
      </c>
      <c r="M116" s="1">
        <f>SUM(K116:K144)</f>
        <v>17971641.219999999</v>
      </c>
    </row>
    <row r="117" spans="1:13" x14ac:dyDescent="0.25">
      <c r="A117" s="234" t="s">
        <v>590</v>
      </c>
      <c r="B117" s="91" t="s">
        <v>112</v>
      </c>
      <c r="C117" s="91" t="s">
        <v>113</v>
      </c>
      <c r="D117" s="91" t="s">
        <v>21</v>
      </c>
      <c r="E117" s="92">
        <v>317431.05</v>
      </c>
      <c r="F117" s="92">
        <v>413709.73</v>
      </c>
      <c r="G117" s="92">
        <v>499688.63</v>
      </c>
      <c r="H117" s="92">
        <v>1332340.53</v>
      </c>
      <c r="I117" s="92">
        <v>977655.39</v>
      </c>
      <c r="J117" s="92">
        <v>604724.01</v>
      </c>
      <c r="K117" s="92">
        <v>638257.53</v>
      </c>
    </row>
    <row r="118" spans="1:13" x14ac:dyDescent="0.25">
      <c r="A118" s="234" t="s">
        <v>590</v>
      </c>
      <c r="B118" s="91" t="s">
        <v>114</v>
      </c>
      <c r="C118" s="91" t="s">
        <v>115</v>
      </c>
      <c r="D118" s="91" t="s">
        <v>21</v>
      </c>
      <c r="E118" s="92">
        <v>709685.78</v>
      </c>
      <c r="F118" s="92">
        <v>811495.26</v>
      </c>
      <c r="G118" s="92">
        <v>1431228.53</v>
      </c>
      <c r="H118" s="92">
        <v>2136909.4300000002</v>
      </c>
      <c r="I118" s="92">
        <v>2144509.2400000002</v>
      </c>
      <c r="J118" s="92">
        <v>1375746.78</v>
      </c>
      <c r="K118" s="92">
        <v>1142267.29</v>
      </c>
    </row>
    <row r="119" spans="1:13" x14ac:dyDescent="0.25">
      <c r="A119" s="234" t="s">
        <v>590</v>
      </c>
      <c r="B119" s="91" t="s">
        <v>116</v>
      </c>
      <c r="C119" s="91" t="s">
        <v>117</v>
      </c>
      <c r="D119" s="91" t="s">
        <v>21</v>
      </c>
      <c r="E119" s="92">
        <v>71956.070000000007</v>
      </c>
      <c r="F119" s="92">
        <v>219178.77</v>
      </c>
      <c r="G119" s="92">
        <v>237345.48</v>
      </c>
      <c r="H119" s="92">
        <v>192596.49</v>
      </c>
      <c r="I119" s="92">
        <v>239552</v>
      </c>
      <c r="J119" s="92">
        <v>373945.71</v>
      </c>
      <c r="K119" s="92">
        <v>309446.87</v>
      </c>
    </row>
    <row r="120" spans="1:13" x14ac:dyDescent="0.25">
      <c r="A120" s="234" t="s">
        <v>590</v>
      </c>
      <c r="B120" s="91" t="s">
        <v>118</v>
      </c>
      <c r="C120" s="91" t="s">
        <v>119</v>
      </c>
      <c r="D120" s="91" t="s">
        <v>12</v>
      </c>
      <c r="E120" s="92">
        <v>107563.46</v>
      </c>
      <c r="F120" s="92">
        <v>279215.14</v>
      </c>
      <c r="G120" s="92">
        <v>220263.3</v>
      </c>
      <c r="H120" s="92">
        <v>262300.78000000003</v>
      </c>
      <c r="I120" s="92">
        <v>331057.21000000002</v>
      </c>
      <c r="J120" s="92">
        <v>278050.2</v>
      </c>
      <c r="K120" s="92">
        <v>327890.03999999998</v>
      </c>
    </row>
    <row r="121" spans="1:13" x14ac:dyDescent="0.25">
      <c r="A121" s="234" t="s">
        <v>590</v>
      </c>
      <c r="B121" s="91" t="s">
        <v>120</v>
      </c>
      <c r="C121" s="91" t="s">
        <v>121</v>
      </c>
      <c r="D121" s="91" t="s">
        <v>21</v>
      </c>
      <c r="E121" s="92">
        <v>858379.5</v>
      </c>
      <c r="F121" s="92">
        <v>1719626.33</v>
      </c>
      <c r="G121" s="92">
        <v>1554143.98</v>
      </c>
      <c r="H121" s="92">
        <v>1950475.44</v>
      </c>
      <c r="I121" s="92">
        <v>1389430.31</v>
      </c>
      <c r="J121" s="92">
        <v>1845871.91</v>
      </c>
      <c r="K121" s="92">
        <v>1698847.45</v>
      </c>
    </row>
    <row r="122" spans="1:13" x14ac:dyDescent="0.25">
      <c r="A122" s="234" t="s">
        <v>590</v>
      </c>
      <c r="B122" s="91" t="s">
        <v>122</v>
      </c>
      <c r="C122" s="91" t="s">
        <v>123</v>
      </c>
      <c r="D122" s="91" t="s">
        <v>21</v>
      </c>
      <c r="E122" s="92">
        <v>1468733.46</v>
      </c>
      <c r="F122" s="92">
        <v>2556276.98</v>
      </c>
      <c r="G122" s="92">
        <v>4871868.47</v>
      </c>
      <c r="H122" s="92">
        <v>5482608.0300000003</v>
      </c>
      <c r="I122" s="92">
        <v>5186234.62</v>
      </c>
      <c r="J122" s="92">
        <v>3709337.4</v>
      </c>
      <c r="K122" s="92">
        <v>3270391.28</v>
      </c>
    </row>
    <row r="123" spans="1:13" x14ac:dyDescent="0.25">
      <c r="A123" s="234" t="s">
        <v>590</v>
      </c>
      <c r="B123" s="91" t="s">
        <v>124</v>
      </c>
      <c r="C123" s="91" t="s">
        <v>125</v>
      </c>
      <c r="D123" s="91" t="s">
        <v>12</v>
      </c>
      <c r="E123" s="92">
        <v>575840.9</v>
      </c>
      <c r="F123" s="92">
        <v>1049071.8799999999</v>
      </c>
      <c r="G123" s="92">
        <v>1556985.67</v>
      </c>
      <c r="H123" s="92">
        <v>1803593.42</v>
      </c>
      <c r="I123" s="92">
        <v>1864631.04</v>
      </c>
      <c r="J123" s="92">
        <v>1190789.74</v>
      </c>
      <c r="K123" s="92" t="s">
        <v>298</v>
      </c>
    </row>
    <row r="124" spans="1:13" s="120" customFormat="1" x14ac:dyDescent="0.25">
      <c r="A124" s="234" t="s">
        <v>590</v>
      </c>
      <c r="B124" s="121" t="s">
        <v>126</v>
      </c>
      <c r="C124" s="121" t="s">
        <v>603</v>
      </c>
      <c r="D124" s="121" t="s">
        <v>21</v>
      </c>
      <c r="E124" s="122">
        <v>1842682.57</v>
      </c>
      <c r="F124" s="122">
        <v>3426903.16</v>
      </c>
      <c r="G124" s="122">
        <v>3985155.05</v>
      </c>
      <c r="H124" s="122">
        <v>4072632.43</v>
      </c>
      <c r="I124" s="122">
        <v>3840128.78</v>
      </c>
      <c r="J124" s="122">
        <v>4100061.64</v>
      </c>
      <c r="K124" s="122">
        <v>0</v>
      </c>
    </row>
    <row r="125" spans="1:13" x14ac:dyDescent="0.25">
      <c r="A125" s="234" t="s">
        <v>590</v>
      </c>
      <c r="B125" s="91" t="s">
        <v>127</v>
      </c>
      <c r="C125" s="91" t="s">
        <v>128</v>
      </c>
      <c r="D125" s="91" t="s">
        <v>12</v>
      </c>
      <c r="E125" s="92">
        <v>201066.47</v>
      </c>
      <c r="F125" s="92">
        <v>297327.82</v>
      </c>
      <c r="G125" s="92">
        <v>358305.63</v>
      </c>
      <c r="H125" s="92">
        <v>645170.47</v>
      </c>
      <c r="I125" s="92">
        <v>531051.73</v>
      </c>
      <c r="J125" s="92">
        <v>464068.62</v>
      </c>
      <c r="K125" s="92">
        <v>337169.21</v>
      </c>
    </row>
    <row r="126" spans="1:13" x14ac:dyDescent="0.25">
      <c r="A126" s="234" t="s">
        <v>590</v>
      </c>
      <c r="B126" s="91" t="s">
        <v>129</v>
      </c>
      <c r="C126" s="91" t="s">
        <v>130</v>
      </c>
      <c r="D126" s="91" t="s">
        <v>21</v>
      </c>
      <c r="E126" s="92">
        <v>511211.54</v>
      </c>
      <c r="F126" s="92">
        <v>1241664.29</v>
      </c>
      <c r="G126" s="92">
        <v>1538067.26</v>
      </c>
      <c r="H126" s="92">
        <v>1568900.89</v>
      </c>
      <c r="I126" s="92">
        <v>1365493.43</v>
      </c>
      <c r="J126" s="92">
        <v>1318356.81</v>
      </c>
      <c r="K126" s="92">
        <v>1353210.92</v>
      </c>
    </row>
    <row r="127" spans="1:13" x14ac:dyDescent="0.25">
      <c r="A127" s="234" t="s">
        <v>590</v>
      </c>
      <c r="B127" s="91" t="s">
        <v>131</v>
      </c>
      <c r="C127" s="91" t="s">
        <v>132</v>
      </c>
      <c r="D127" s="91" t="s">
        <v>21</v>
      </c>
      <c r="E127" s="92">
        <v>322730.32</v>
      </c>
      <c r="F127" s="92">
        <v>441003.12</v>
      </c>
      <c r="G127" s="92">
        <v>1045327.21</v>
      </c>
      <c r="H127" s="92">
        <v>926735.09</v>
      </c>
      <c r="I127" s="92">
        <v>792262.12</v>
      </c>
      <c r="J127" s="92">
        <v>791756.54</v>
      </c>
      <c r="K127" s="92">
        <v>511583.96</v>
      </c>
    </row>
    <row r="128" spans="1:13" x14ac:dyDescent="0.25">
      <c r="A128" s="234" t="s">
        <v>590</v>
      </c>
      <c r="B128" s="91" t="s">
        <v>133</v>
      </c>
      <c r="C128" s="91" t="s">
        <v>134</v>
      </c>
      <c r="D128" s="91" t="s">
        <v>12</v>
      </c>
      <c r="E128" s="92">
        <v>167263</v>
      </c>
      <c r="F128" s="92">
        <v>344200</v>
      </c>
      <c r="G128" s="92">
        <v>457845</v>
      </c>
      <c r="H128" s="92">
        <v>416572</v>
      </c>
      <c r="I128" s="92">
        <v>399629.15</v>
      </c>
      <c r="J128" s="92">
        <v>223199.76</v>
      </c>
      <c r="K128" s="92">
        <v>253939.84</v>
      </c>
    </row>
    <row r="129" spans="1:11" x14ac:dyDescent="0.25">
      <c r="A129" s="234" t="s">
        <v>590</v>
      </c>
      <c r="B129" s="91" t="s">
        <v>135</v>
      </c>
      <c r="C129" s="91" t="s">
        <v>136</v>
      </c>
      <c r="D129" s="91" t="s">
        <v>21</v>
      </c>
      <c r="E129" s="92">
        <v>726188.09</v>
      </c>
      <c r="F129" s="92">
        <v>1179988.8700000001</v>
      </c>
      <c r="G129" s="92">
        <v>2327379.15</v>
      </c>
      <c r="H129" s="92">
        <v>2313899.83</v>
      </c>
      <c r="I129" s="92">
        <v>1285597.3400000001</v>
      </c>
      <c r="J129" s="92">
        <v>678688.75</v>
      </c>
      <c r="K129" s="92">
        <v>549736.88</v>
      </c>
    </row>
    <row r="130" spans="1:11" x14ac:dyDescent="0.25">
      <c r="A130" s="234" t="s">
        <v>590</v>
      </c>
      <c r="B130" s="91" t="s">
        <v>137</v>
      </c>
      <c r="C130" s="91" t="s">
        <v>138</v>
      </c>
      <c r="D130" s="91" t="s">
        <v>21</v>
      </c>
      <c r="E130" s="92">
        <v>403148.76</v>
      </c>
      <c r="F130" s="92">
        <v>609159.86</v>
      </c>
      <c r="G130" s="92">
        <v>884466.98</v>
      </c>
      <c r="H130" s="92">
        <v>892220.19</v>
      </c>
      <c r="I130" s="92">
        <v>710152.87</v>
      </c>
      <c r="J130" s="92">
        <v>465225.42</v>
      </c>
      <c r="K130" s="92">
        <v>356198.15</v>
      </c>
    </row>
    <row r="131" spans="1:11" x14ac:dyDescent="0.25">
      <c r="A131" s="234" t="s">
        <v>590</v>
      </c>
      <c r="B131" s="91" t="s">
        <v>139</v>
      </c>
      <c r="C131" s="91" t="s">
        <v>140</v>
      </c>
      <c r="D131" s="91" t="s">
        <v>12</v>
      </c>
      <c r="E131" s="92">
        <v>284108.19</v>
      </c>
      <c r="F131" s="92">
        <v>829860.34</v>
      </c>
      <c r="G131" s="92">
        <v>901898.85</v>
      </c>
      <c r="H131" s="92">
        <v>1372912.85</v>
      </c>
      <c r="I131" s="92">
        <v>1012196.23</v>
      </c>
      <c r="J131" s="92">
        <v>113645.58</v>
      </c>
      <c r="K131" s="92" t="s">
        <v>298</v>
      </c>
    </row>
    <row r="132" spans="1:11" x14ac:dyDescent="0.25">
      <c r="A132" s="234" t="s">
        <v>590</v>
      </c>
      <c r="B132" s="91" t="s">
        <v>141</v>
      </c>
      <c r="C132" s="91" t="s">
        <v>142</v>
      </c>
      <c r="D132" s="91" t="s">
        <v>12</v>
      </c>
      <c r="E132" s="92">
        <v>129398.65</v>
      </c>
      <c r="F132" s="92">
        <v>366249.54</v>
      </c>
      <c r="G132" s="92">
        <v>415482.81</v>
      </c>
      <c r="H132" s="92">
        <v>414017.99</v>
      </c>
      <c r="I132" s="92">
        <v>828464.3</v>
      </c>
      <c r="J132" s="92">
        <v>622381.5</v>
      </c>
      <c r="K132" s="92">
        <v>625954.97</v>
      </c>
    </row>
    <row r="133" spans="1:11" x14ac:dyDescent="0.25">
      <c r="A133" s="234" t="s">
        <v>590</v>
      </c>
      <c r="B133" s="91" t="s">
        <v>143</v>
      </c>
      <c r="C133" s="91" t="s">
        <v>144</v>
      </c>
      <c r="D133" s="91" t="s">
        <v>21</v>
      </c>
      <c r="E133" s="92">
        <v>1711421.64</v>
      </c>
      <c r="F133" s="92">
        <v>2755006.65</v>
      </c>
      <c r="G133" s="92">
        <v>3283709.41</v>
      </c>
      <c r="H133" s="92">
        <v>3531458.22</v>
      </c>
      <c r="I133" s="92">
        <v>4034155.97</v>
      </c>
      <c r="J133" s="92">
        <v>3603987.15</v>
      </c>
      <c r="K133" s="92">
        <v>3151416.9</v>
      </c>
    </row>
    <row r="134" spans="1:11" x14ac:dyDescent="0.25">
      <c r="A134" s="234" t="s">
        <v>590</v>
      </c>
      <c r="B134" s="91" t="s">
        <v>145</v>
      </c>
      <c r="C134" s="91" t="s">
        <v>146</v>
      </c>
      <c r="D134" s="91" t="s">
        <v>21</v>
      </c>
      <c r="E134" s="92">
        <v>947644.45</v>
      </c>
      <c r="F134" s="92">
        <v>1610254.41</v>
      </c>
      <c r="G134" s="92">
        <v>2761369.52</v>
      </c>
      <c r="H134" s="92">
        <v>2828324.77</v>
      </c>
      <c r="I134" s="92">
        <v>2338564.56</v>
      </c>
      <c r="J134" s="92">
        <v>1902229.69</v>
      </c>
      <c r="K134" s="92">
        <v>1883424.22</v>
      </c>
    </row>
    <row r="135" spans="1:11" x14ac:dyDescent="0.25">
      <c r="A135" s="234" t="s">
        <v>590</v>
      </c>
      <c r="B135" s="91" t="s">
        <v>147</v>
      </c>
      <c r="C135" s="91" t="s">
        <v>148</v>
      </c>
      <c r="D135" s="91" t="s">
        <v>21</v>
      </c>
      <c r="E135" s="92">
        <v>220838.03</v>
      </c>
      <c r="F135" s="92">
        <v>351331.5</v>
      </c>
      <c r="G135" s="92">
        <v>502436.71</v>
      </c>
      <c r="H135" s="92">
        <v>449661.26</v>
      </c>
      <c r="I135" s="92">
        <v>517508.71</v>
      </c>
      <c r="J135" s="92">
        <v>329285.19</v>
      </c>
      <c r="K135" s="92">
        <v>316004.88</v>
      </c>
    </row>
    <row r="136" spans="1:11" x14ac:dyDescent="0.25">
      <c r="A136" s="234" t="s">
        <v>590</v>
      </c>
      <c r="B136" s="91" t="s">
        <v>149</v>
      </c>
      <c r="C136" s="91" t="s">
        <v>150</v>
      </c>
      <c r="D136" s="91" t="s">
        <v>12</v>
      </c>
      <c r="E136" s="92">
        <v>87479.6</v>
      </c>
      <c r="F136" s="92">
        <v>197280.26</v>
      </c>
      <c r="G136" s="92">
        <v>455274.49</v>
      </c>
      <c r="H136" s="92">
        <v>704563.18</v>
      </c>
      <c r="I136" s="92">
        <v>513053.38</v>
      </c>
      <c r="J136" s="92">
        <v>322500.86</v>
      </c>
      <c r="K136" s="92">
        <v>323471.46999999997</v>
      </c>
    </row>
    <row r="137" spans="1:11" x14ac:dyDescent="0.25">
      <c r="A137" s="234" t="s">
        <v>590</v>
      </c>
      <c r="B137" s="91" t="s">
        <v>151</v>
      </c>
      <c r="C137" s="91" t="s">
        <v>152</v>
      </c>
      <c r="D137" s="91" t="s">
        <v>12</v>
      </c>
      <c r="E137" s="92">
        <v>22675.69</v>
      </c>
      <c r="F137" s="92">
        <v>96763.38</v>
      </c>
      <c r="G137" s="92">
        <v>61124.93</v>
      </c>
      <c r="H137" s="92">
        <v>74298.94</v>
      </c>
      <c r="I137" s="92">
        <v>67982.92</v>
      </c>
      <c r="J137" s="92">
        <v>4422.4799999999996</v>
      </c>
      <c r="K137" s="92" t="s">
        <v>298</v>
      </c>
    </row>
    <row r="138" spans="1:11" x14ac:dyDescent="0.25">
      <c r="A138" s="234" t="s">
        <v>590</v>
      </c>
      <c r="B138" s="91" t="s">
        <v>153</v>
      </c>
      <c r="C138" s="91" t="s">
        <v>154</v>
      </c>
      <c r="D138" s="91" t="s">
        <v>12</v>
      </c>
      <c r="E138" s="92">
        <v>92155.07</v>
      </c>
      <c r="F138" s="92">
        <v>252168.06</v>
      </c>
      <c r="G138" s="92">
        <v>378918.45</v>
      </c>
      <c r="H138" s="92">
        <v>394079.08</v>
      </c>
      <c r="I138" s="92">
        <v>332604.53999999998</v>
      </c>
      <c r="J138" s="92">
        <v>260463.89</v>
      </c>
      <c r="K138" s="92">
        <v>257512.79</v>
      </c>
    </row>
    <row r="139" spans="1:11" x14ac:dyDescent="0.25">
      <c r="A139" s="234" t="s">
        <v>590</v>
      </c>
      <c r="B139" s="91" t="s">
        <v>155</v>
      </c>
      <c r="C139" s="91" t="s">
        <v>156</v>
      </c>
      <c r="D139" s="91" t="s">
        <v>12</v>
      </c>
      <c r="E139" s="92">
        <v>32183</v>
      </c>
      <c r="F139" s="92">
        <v>97888</v>
      </c>
      <c r="G139" s="92">
        <v>119801</v>
      </c>
      <c r="H139" s="92">
        <v>109569</v>
      </c>
      <c r="I139" s="92">
        <v>84957.84</v>
      </c>
      <c r="J139" s="92">
        <v>52163.9</v>
      </c>
      <c r="K139" s="92">
        <v>43612.79</v>
      </c>
    </row>
    <row r="140" spans="1:11" x14ac:dyDescent="0.25">
      <c r="A140" s="234" t="s">
        <v>590</v>
      </c>
      <c r="B140" s="91" t="s">
        <v>157</v>
      </c>
      <c r="C140" s="91" t="s">
        <v>158</v>
      </c>
      <c r="D140" s="91" t="s">
        <v>12</v>
      </c>
      <c r="E140" s="92">
        <v>173604.93</v>
      </c>
      <c r="F140" s="92">
        <v>59431.78</v>
      </c>
      <c r="G140" s="92">
        <v>203401.43</v>
      </c>
      <c r="H140" s="92">
        <v>378325.59</v>
      </c>
      <c r="I140" s="92">
        <v>242687.31</v>
      </c>
      <c r="J140" s="92">
        <v>194387.23</v>
      </c>
      <c r="K140" s="92">
        <v>185902.97</v>
      </c>
    </row>
    <row r="141" spans="1:11" x14ac:dyDescent="0.25">
      <c r="A141" s="234" t="s">
        <v>590</v>
      </c>
      <c r="B141" s="91" t="s">
        <v>159</v>
      </c>
      <c r="C141" s="91" t="s">
        <v>160</v>
      </c>
      <c r="D141" s="91" t="s">
        <v>16</v>
      </c>
      <c r="E141" s="92" t="s">
        <v>298</v>
      </c>
      <c r="F141" s="92" t="s">
        <v>298</v>
      </c>
      <c r="G141" s="92" t="s">
        <v>298</v>
      </c>
      <c r="H141" s="92" t="s">
        <v>298</v>
      </c>
      <c r="I141" s="92" t="s">
        <v>298</v>
      </c>
      <c r="J141" s="92" t="s">
        <v>298</v>
      </c>
      <c r="K141" s="92" t="s">
        <v>298</v>
      </c>
    </row>
    <row r="142" spans="1:11" x14ac:dyDescent="0.25">
      <c r="A142" s="234" t="s">
        <v>590</v>
      </c>
      <c r="B142" s="91" t="s">
        <v>161</v>
      </c>
      <c r="C142" s="91" t="s">
        <v>162</v>
      </c>
      <c r="D142" s="91" t="s">
        <v>21</v>
      </c>
      <c r="E142" s="92">
        <v>137870.21</v>
      </c>
      <c r="F142" s="92">
        <v>121060.38</v>
      </c>
      <c r="G142" s="92">
        <v>101728.22</v>
      </c>
      <c r="H142" s="92">
        <v>147532.66</v>
      </c>
      <c r="I142" s="92">
        <v>54829.83</v>
      </c>
      <c r="J142" s="92">
        <v>192620.78</v>
      </c>
      <c r="K142" s="92">
        <v>181025.59</v>
      </c>
    </row>
    <row r="143" spans="1:11" x14ac:dyDescent="0.25">
      <c r="A143" s="234" t="s">
        <v>590</v>
      </c>
      <c r="B143" s="91" t="s">
        <v>163</v>
      </c>
      <c r="C143" s="91" t="s">
        <v>164</v>
      </c>
      <c r="D143" s="91" t="s">
        <v>16</v>
      </c>
      <c r="E143" s="92" t="s">
        <v>298</v>
      </c>
      <c r="F143" s="92" t="s">
        <v>298</v>
      </c>
      <c r="G143" s="92" t="s">
        <v>298</v>
      </c>
      <c r="H143" s="92" t="s">
        <v>298</v>
      </c>
      <c r="I143" s="92" t="s">
        <v>298</v>
      </c>
      <c r="J143" s="92" t="s">
        <v>298</v>
      </c>
      <c r="K143" s="92" t="s">
        <v>298</v>
      </c>
    </row>
    <row r="144" spans="1:11" x14ac:dyDescent="0.25">
      <c r="A144" s="234" t="s">
        <v>590</v>
      </c>
      <c r="B144" s="91" t="s">
        <v>165</v>
      </c>
      <c r="C144" s="91" t="s">
        <v>166</v>
      </c>
      <c r="D144" s="91" t="s">
        <v>16</v>
      </c>
      <c r="E144" s="92" t="s">
        <v>298</v>
      </c>
      <c r="F144" s="92" t="s">
        <v>298</v>
      </c>
      <c r="G144" s="92" t="s">
        <v>298</v>
      </c>
      <c r="H144" s="92" t="s">
        <v>298</v>
      </c>
      <c r="I144" s="92" t="s">
        <v>298</v>
      </c>
      <c r="J144" s="92" t="s">
        <v>298</v>
      </c>
      <c r="K144" s="92" t="s">
        <v>298</v>
      </c>
    </row>
    <row r="145" spans="1:13" s="120" customFormat="1" x14ac:dyDescent="0.25">
      <c r="A145" s="120" t="s">
        <v>612</v>
      </c>
      <c r="B145" s="118" t="s">
        <v>70</v>
      </c>
      <c r="C145" s="118" t="s">
        <v>602</v>
      </c>
      <c r="D145" s="118" t="s">
        <v>21</v>
      </c>
      <c r="E145" s="119">
        <v>1576437.02</v>
      </c>
      <c r="F145" s="119">
        <v>2441555.44</v>
      </c>
      <c r="G145" s="119">
        <v>5290493.4800000004</v>
      </c>
      <c r="H145" s="119">
        <v>6254557.4800000004</v>
      </c>
      <c r="I145" s="119">
        <v>5321738.5</v>
      </c>
      <c r="J145" s="119">
        <v>4936184.01</v>
      </c>
      <c r="K145" s="119">
        <v>6324395.9800000004</v>
      </c>
      <c r="L145" s="120" t="s">
        <v>626</v>
      </c>
      <c r="M145" s="230">
        <f>SUM(K145:K146)</f>
        <v>12012003.940000001</v>
      </c>
    </row>
    <row r="146" spans="1:13" s="120" customFormat="1" x14ac:dyDescent="0.25">
      <c r="A146" s="120" t="s">
        <v>612</v>
      </c>
      <c r="B146" s="121" t="s">
        <v>126</v>
      </c>
      <c r="C146" s="121" t="s">
        <v>603</v>
      </c>
      <c r="D146" s="121" t="s">
        <v>21</v>
      </c>
      <c r="E146" s="122">
        <v>1842682.57</v>
      </c>
      <c r="F146" s="122">
        <v>3426903.16</v>
      </c>
      <c r="G146" s="122">
        <v>3985155.05</v>
      </c>
      <c r="H146" s="122">
        <v>4072632.43</v>
      </c>
      <c r="I146" s="122">
        <v>3840128.78</v>
      </c>
      <c r="J146" s="122">
        <v>4100061.64</v>
      </c>
      <c r="K146" s="122">
        <v>5687607.96</v>
      </c>
    </row>
    <row r="147" spans="1:13" s="120" customFormat="1" x14ac:dyDescent="0.25">
      <c r="B147" s="121"/>
      <c r="C147" s="121"/>
      <c r="D147" s="121"/>
      <c r="E147" s="122"/>
      <c r="F147" s="122"/>
      <c r="G147" s="122"/>
      <c r="H147" s="122"/>
      <c r="I147" s="122"/>
      <c r="J147" s="122"/>
      <c r="K147" s="119"/>
    </row>
    <row r="148" spans="1:13" x14ac:dyDescent="0.25">
      <c r="B148" s="85" t="s">
        <v>606</v>
      </c>
      <c r="C148" s="1">
        <f>M3</f>
        <v>58514319.789999984</v>
      </c>
    </row>
    <row r="149" spans="1:13" x14ac:dyDescent="0.25">
      <c r="B149" s="89" t="s">
        <v>589</v>
      </c>
      <c r="C149" s="1">
        <f>M68</f>
        <v>42230901.970000006</v>
      </c>
    </row>
    <row r="150" spans="1:13" x14ac:dyDescent="0.25">
      <c r="B150" s="91" t="s">
        <v>590</v>
      </c>
      <c r="C150" s="1">
        <f>M116</f>
        <v>17971641.219999999</v>
      </c>
    </row>
    <row r="151" spans="1:13" x14ac:dyDescent="0.25">
      <c r="B151" t="s">
        <v>592</v>
      </c>
      <c r="C151" s="1">
        <f>SUM(C148:C150)</f>
        <v>118716862.97999999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s xmlns="6000d430-56d7-4c6d-a317-e214f6ca3baa" xsi:nil="true"/>
  </documentManagement>
</p:properties>
</file>

<file path=customXml/itemProps1.xml><?xml version="1.0" encoding="utf-8"?>
<ds:datastoreItem xmlns:ds="http://schemas.openxmlformats.org/officeDocument/2006/customXml" ds:itemID="{0307243E-5AB6-4EA8-99D7-2603E104CD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8468C7-D7FB-48D4-8B6B-26BC786D0AC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DF44BEAC-296C-4EE5-809A-458098BB20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f5be9-cbf5-46e7-8cd6-8deef78f4d58"/>
    <ds:schemaRef ds:uri="6000d430-56d7-4c6d-a317-e214f6ca3b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78D348F-091D-4A8E-A94B-55953CAD09E7}">
  <ds:schemaRefs>
    <ds:schemaRef ds:uri="http://schemas.microsoft.com/office/2006/metadata/longProperties"/>
  </ds:schemaRefs>
</ds:datastoreItem>
</file>

<file path=customXml/itemProps5.xml><?xml version="1.0" encoding="utf-8"?>
<ds:datastoreItem xmlns:ds="http://schemas.openxmlformats.org/officeDocument/2006/customXml" ds:itemID="{734A6D10-D059-451C-AAA4-245E3A8C6776}">
  <ds:schemaRefs>
    <ds:schemaRef ds:uri="6000d430-56d7-4c6d-a317-e214f6ca3baa"/>
    <ds:schemaRef ds:uri="b0ff5be9-cbf5-46e7-8cd6-8deef78f4d58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Collection Goals Summary</vt:lpstr>
      <vt:lpstr>Army IP</vt:lpstr>
      <vt:lpstr>Navy IP</vt:lpstr>
      <vt:lpstr>Air Force IP</vt:lpstr>
      <vt:lpstr>JTF IP</vt:lpstr>
      <vt:lpstr>IP Collections</vt:lpstr>
      <vt:lpstr>Army OP</vt:lpstr>
      <vt:lpstr>Navy OP</vt:lpstr>
      <vt:lpstr>Air Force OP</vt:lpstr>
      <vt:lpstr>JTF OP</vt:lpstr>
      <vt:lpstr>Sheet2</vt:lpstr>
      <vt:lpstr>OP Collections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sahmed</dc:creator>
  <cp:lastModifiedBy>Roeder, Nicholas, CTR, OASD(HA)/TMA</cp:lastModifiedBy>
  <dcterms:created xsi:type="dcterms:W3CDTF">2010-11-29T14:15:43Z</dcterms:created>
  <dcterms:modified xsi:type="dcterms:W3CDTF">2015-09-10T12:41:59Z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</vt:lpwstr>
  </property>
  <property fmtid="{D5CDD505-2E9C-101B-9397-08002B2CF9AE}" pid="3" name="Comments0">
    <vt:lpwstr/>
  </property>
  <property fmtid="{D5CDD505-2E9C-101B-9397-08002B2CF9AE}" pid="4" name="Status">
    <vt:lpwstr/>
  </property>
  <property fmtid="{D5CDD505-2E9C-101B-9397-08002B2CF9AE}" pid="5" name="_dlc_DocId">
    <vt:lpwstr>WD4D7D34NNFN-35-748</vt:lpwstr>
  </property>
  <property fmtid="{D5CDD505-2E9C-101B-9397-08002B2CF9AE}" pid="6" name="_dlc_DocIdItemGuid">
    <vt:lpwstr>ba0550bc-cda8-43c0-bbae-63f7f67f6a43</vt:lpwstr>
  </property>
  <property fmtid="{D5CDD505-2E9C-101B-9397-08002B2CF9AE}" pid="7" name="_dlc_DocIdUrl">
    <vt:lpwstr>https://onestop.altarum.org/sites/bas/MHS_PM/UBO/_layouts/DocIdRedir.aspx?ID=WD4D7D34NNFN-35-748, WD4D7D34NNFN-35-748</vt:lpwstr>
  </property>
  <property fmtid="{D5CDD505-2E9C-101B-9397-08002B2CF9AE}" pid="8" name="display_urn:schemas-microsoft-com:office:office#Editor">
    <vt:lpwstr>Matthew Megas</vt:lpwstr>
  </property>
  <property fmtid="{D5CDD505-2E9C-101B-9397-08002B2CF9AE}" pid="9" name="display_urn:schemas-microsoft-com:office:office#Author">
    <vt:lpwstr>Matthew Megas</vt:lpwstr>
  </property>
</Properties>
</file>